
<file path=[Content_Types].xml><?xml version="1.0" encoding="utf-8"?>
<Types xmlns="http://schemas.openxmlformats.org/package/2006/content-types">
  <Override PartName="/xl/styles.xml" ContentType="application/vnd.openxmlformats-officedocument.spreadsheetml.styles+xml"/>
  <Override PartName="/xl/charts/chart4.xml" ContentType="application/vnd.openxmlformats-officedocument.drawingml.chart+xml"/>
  <Override PartName="/xl/worksheets/sheet7.xml" ContentType="application/vnd.openxmlformats-officedocument.spreadsheetml.worksheet+xml"/>
  <Override PartName="/xl/charts/chart78.xml" ContentType="application/vnd.openxmlformats-officedocument.drawingml.chart+xml"/>
  <Override PartName="/xl/charts/chart89.xml" ContentType="application/vnd.openxmlformats-officedocument.drawingml.chart+xml"/>
  <Override PartName="/xl/charts/chart109.xml" ContentType="application/vnd.openxmlformats-officedocument.drawingml.chart+xml"/>
  <Override PartName="/xl/charts/chart138.xml" ContentType="application/vnd.openxmlformats-officedocument.drawingml.chart+xml"/>
  <Override PartName="/xl/charts/chart156.xml" ContentType="application/vnd.openxmlformats-officedocument.drawingml.chart+xml"/>
  <Override PartName="/xl/charts/chart167.xml" ContentType="application/vnd.openxmlformats-officedocument.drawingml.chart+xml"/>
  <Default Extension="xml" ContentType="application/xml"/>
  <Override PartName="/xl/drawings/drawing2.xml" ContentType="application/vnd.openxmlformats-officedocument.drawing+xml"/>
  <Override PartName="/xl/charts/chart49.xml" ContentType="application/vnd.openxmlformats-officedocument.drawingml.chart+xml"/>
  <Override PartName="/xl/charts/chart67.xml" ContentType="application/vnd.openxmlformats-officedocument.drawingml.chart+xml"/>
  <Override PartName="/xl/charts/chart96.xml" ContentType="application/vnd.openxmlformats-officedocument.drawingml.chart+xml"/>
  <Override PartName="/xl/charts/chart116.xml" ContentType="application/vnd.openxmlformats-officedocument.drawingml.chart+xml"/>
  <Override PartName="/xl/charts/chart127.xml" ContentType="application/vnd.openxmlformats-officedocument.drawingml.chart+xml"/>
  <Override PartName="/xl/charts/chart145.xml" ContentType="application/vnd.openxmlformats-officedocument.drawingml.chart+xml"/>
  <Override PartName="/xl/charts/chart163.xml" ContentType="application/vnd.openxmlformats-officedocument.drawingml.chart+xml"/>
  <Override PartName="/xl/worksheets/sheet3.xml" ContentType="application/vnd.openxmlformats-officedocument.spreadsheetml.worksheet+xml"/>
  <Override PartName="/xl/charts/chart27.xml" ContentType="application/vnd.openxmlformats-officedocument.drawingml.chart+xml"/>
  <Override PartName="/xl/charts/chart38.xml" ContentType="application/vnd.openxmlformats-officedocument.drawingml.chart+xml"/>
  <Override PartName="/xl/charts/chart56.xml" ContentType="application/vnd.openxmlformats-officedocument.drawingml.chart+xml"/>
  <Override PartName="/xl/charts/chart74.xml" ContentType="application/vnd.openxmlformats-officedocument.drawingml.chart+xml"/>
  <Override PartName="/xl/charts/chart85.xml" ContentType="application/vnd.openxmlformats-officedocument.drawingml.chart+xml"/>
  <Override PartName="/xl/charts/chart105.xml" ContentType="application/vnd.openxmlformats-officedocument.drawingml.chart+xml"/>
  <Override PartName="/xl/charts/chart134.xml" ContentType="application/vnd.openxmlformats-officedocument.drawingml.chart+xml"/>
  <Override PartName="/xl/charts/chart152.xml" ContentType="application/vnd.openxmlformats-officedocument.drawingml.chart+xml"/>
  <Override PartName="/xl/charts/chart16.xml" ContentType="application/vnd.openxmlformats-officedocument.drawingml.chart+xml"/>
  <Override PartName="/xl/charts/chart34.xml" ContentType="application/vnd.openxmlformats-officedocument.drawingml.chart+xml"/>
  <Override PartName="/xl/charts/chart45.xml" ContentType="application/vnd.openxmlformats-officedocument.drawingml.chart+xml"/>
  <Override PartName="/xl/charts/chart63.xml" ContentType="application/vnd.openxmlformats-officedocument.drawingml.chart+xml"/>
  <Override PartName="/xl/charts/chart81.xml" ContentType="application/vnd.openxmlformats-officedocument.drawingml.chart+xml"/>
  <Override PartName="/xl/charts/chart92.xml" ContentType="application/vnd.openxmlformats-officedocument.drawingml.chart+xml"/>
  <Override PartName="/xl/charts/chart112.xml" ContentType="application/vnd.openxmlformats-officedocument.drawingml.chart+xml"/>
  <Override PartName="/xl/charts/chart123.xml" ContentType="application/vnd.openxmlformats-officedocument.drawingml.chart+xml"/>
  <Override PartName="/xl/charts/chart141.xml" ContentType="application/vnd.openxmlformats-officedocument.drawingml.chart+xml"/>
  <Override PartName="/xl/charts/chart170.xml" ContentType="application/vnd.openxmlformats-officedocument.drawingml.chart+xml"/>
  <Override PartName="/xl/sharedStrings.xml" ContentType="application/vnd.openxmlformats-officedocument.spreadsheetml.sharedStrings+xml"/>
  <Override PartName="/xl/charts/chart23.xml" ContentType="application/vnd.openxmlformats-officedocument.drawingml.chart+xml"/>
  <Override PartName="/xl/charts/chart52.xml" ContentType="application/vnd.openxmlformats-officedocument.drawingml.chart+xml"/>
  <Override PartName="/xl/charts/chart70.xml" ContentType="application/vnd.openxmlformats-officedocument.drawingml.chart+xml"/>
  <Override PartName="/xl/charts/chart101.xml" ContentType="application/vnd.openxmlformats-officedocument.drawingml.chart+xml"/>
  <Override PartName="/xl/charts/chart130.xml" ContentType="application/vnd.openxmlformats-officedocument.drawingml.chart+xml"/>
  <Override PartName="/xl/charts/chart9.xml" ContentType="application/vnd.openxmlformats-officedocument.drawingml.chart+xml"/>
  <Override PartName="/xl/charts/chart12.xml" ContentType="application/vnd.openxmlformats-officedocument.drawingml.chart+xml"/>
  <Override PartName="/xl/charts/chart30.xml" ContentType="application/vnd.openxmlformats-officedocument.drawingml.chart+xml"/>
  <Override PartName="/xl/charts/chart41.xml" ContentType="application/vnd.openxmlformats-officedocument.drawingml.chart+xml"/>
  <Default Extension="bin" ContentType="application/vnd.openxmlformats-officedocument.spreadsheetml.printerSettings"/>
  <Override PartName="/xl/tables/table1.xml" ContentType="application/vnd.openxmlformats-officedocument.spreadsheetml.table+xml"/>
  <Override PartName="/xl/charts/chart5.xml" ContentType="application/vnd.openxmlformats-officedocument.drawingml.chart+xml"/>
  <Override PartName="/xl/charts/chart139.xml" ContentType="application/vnd.openxmlformats-officedocument.drawingml.chart+xml"/>
  <Override PartName="/xl/charts/chart168.xml" ContentType="application/vnd.openxmlformats-officedocument.drawingml.chart+xml"/>
  <Override PartName="/xl/worksheets/sheet8.xml" ContentType="application/vnd.openxmlformats-officedocument.spreadsheetml.worksheet+xml"/>
  <Override PartName="/xl/charts/chart79.xml" ContentType="application/vnd.openxmlformats-officedocument.drawingml.chart+xml"/>
  <Override PartName="/xl/charts/chart97.xml" ContentType="application/vnd.openxmlformats-officedocument.drawingml.chart+xml"/>
  <Override PartName="/xl/charts/chart128.xml" ContentType="application/vnd.openxmlformats-officedocument.drawingml.chart+xml"/>
  <Override PartName="/xl/charts/chart157.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3.xml" ContentType="application/vnd.openxmlformats-officedocument.drawing+xml"/>
  <Override PartName="/xl/charts/chart39.xml" ContentType="application/vnd.openxmlformats-officedocument.drawingml.chart+xml"/>
  <Override PartName="/xl/charts/chart57.xml" ContentType="application/vnd.openxmlformats-officedocument.drawingml.chart+xml"/>
  <Override PartName="/xl/charts/chart68.xml" ContentType="application/vnd.openxmlformats-officedocument.drawingml.chart+xml"/>
  <Override PartName="/xl/charts/chart86.xml" ContentType="application/vnd.openxmlformats-officedocument.drawingml.chart+xml"/>
  <Override PartName="/xl/charts/chart117.xml" ContentType="application/vnd.openxmlformats-officedocument.drawingml.chart+xml"/>
  <Override PartName="/xl/charts/chart135.xml" ContentType="application/vnd.openxmlformats-officedocument.drawingml.chart+xml"/>
  <Override PartName="/xl/charts/chart146.xml" ContentType="application/vnd.openxmlformats-officedocument.drawingml.chart+xml"/>
  <Override PartName="/xl/charts/chart164.xml" ContentType="application/vnd.openxmlformats-officedocument.drawingml.chart+xml"/>
  <Override PartName="/docProps/app.xml" ContentType="application/vnd.openxmlformats-officedocument.extended-properties+xml"/>
  <Override PartName="/xl/charts/chart28.xml" ContentType="application/vnd.openxmlformats-officedocument.drawingml.chart+xml"/>
  <Override PartName="/xl/charts/chart46.xml" ContentType="application/vnd.openxmlformats-officedocument.drawingml.chart+xml"/>
  <Override PartName="/xl/charts/chart75.xml" ContentType="application/vnd.openxmlformats-officedocument.drawingml.chart+xml"/>
  <Override PartName="/xl/charts/chart93.xml" ContentType="application/vnd.openxmlformats-officedocument.drawingml.chart+xml"/>
  <Override PartName="/xl/charts/chart106.xml" ContentType="application/vnd.openxmlformats-officedocument.drawingml.chart+xml"/>
  <Override PartName="/xl/charts/chart124.xml" ContentType="application/vnd.openxmlformats-officedocument.drawingml.chart+xml"/>
  <Override PartName="/xl/charts/chart142.xml" ContentType="application/vnd.openxmlformats-officedocument.drawingml.chart+xml"/>
  <Override PartName="/xl/charts/chart153.xml" ContentType="application/vnd.openxmlformats-officedocument.drawingml.chart+xml"/>
  <Override PartName="/xl/charts/chart171.xml" ContentType="application/vnd.openxmlformats-officedocument.drawingml.chart+xml"/>
  <Override PartName="/xl/charts/chart17.xml" ContentType="application/vnd.openxmlformats-officedocument.drawingml.chart+xml"/>
  <Override PartName="/xl/charts/chart35.xml" ContentType="application/vnd.openxmlformats-officedocument.drawingml.chart+xml"/>
  <Override PartName="/xl/charts/chart53.xml" ContentType="application/vnd.openxmlformats-officedocument.drawingml.chart+xml"/>
  <Override PartName="/xl/charts/chart64.xml" ContentType="application/vnd.openxmlformats-officedocument.drawingml.chart+xml"/>
  <Override PartName="/xl/charts/chart82.xml" ContentType="application/vnd.openxmlformats-officedocument.drawingml.chart+xml"/>
  <Override PartName="/xl/charts/chart113.xml" ContentType="application/vnd.openxmlformats-officedocument.drawingml.chart+xml"/>
  <Override PartName="/xl/charts/chart131.xml" ContentType="application/vnd.openxmlformats-officedocument.drawingml.chart+xml"/>
  <Override PartName="/xl/charts/chart160.xml" ContentType="application/vnd.openxmlformats-officedocument.drawingml.chart+xml"/>
  <Override PartName="/xl/calcChain.xml" ContentType="application/vnd.openxmlformats-officedocument.spreadsheetml.calcChain+xml"/>
  <Override PartName="/xl/charts/chart13.xml" ContentType="application/vnd.openxmlformats-officedocument.drawingml.chart+xml"/>
  <Override PartName="/xl/charts/chart24.xml" ContentType="application/vnd.openxmlformats-officedocument.drawingml.chart+xml"/>
  <Override PartName="/xl/charts/chart42.xml" ContentType="application/vnd.openxmlformats-officedocument.drawingml.chart+xml"/>
  <Override PartName="/xl/charts/chart71.xml" ContentType="application/vnd.openxmlformats-officedocument.drawingml.chart+xml"/>
  <Override PartName="/xl/charts/chart102.xml" ContentType="application/vnd.openxmlformats-officedocument.drawingml.chart+xml"/>
  <Override PartName="/xl/charts/chart120.xml" ContentType="application/vnd.openxmlformats-officedocument.drawingml.chart+xml"/>
  <Override PartName="/xl/charts/chart31.xml" ContentType="application/vnd.openxmlformats-officedocument.drawingml.chart+xml"/>
  <Override PartName="/xl/charts/chart60.xml" ContentType="application/vnd.openxmlformats-officedocument.drawingml.chart+xml"/>
  <Override PartName="/docProps/core.xml" ContentType="application/vnd.openxmlformats-package.core-properties+xml"/>
  <Override PartName="/xl/charts/chart6.xml" ContentType="application/vnd.openxmlformats-officedocument.drawingml.chart+xml"/>
  <Override PartName="/xl/charts/chart20.xml" ContentType="application/vnd.openxmlformats-officedocument.drawingml.chart+xml"/>
  <Override PartName="/xl/worksheets/sheet9.xml" ContentType="application/vnd.openxmlformats-officedocument.spreadsheetml.worksheet+xml"/>
  <Override PartName="/xl/theme/theme1.xml" ContentType="application/vnd.openxmlformats-officedocument.theme+xml"/>
  <Override PartName="/xl/tables/table2.xml" ContentType="application/vnd.openxmlformats-officedocument.spreadsheetml.table+xml"/>
  <Override PartName="/xl/charts/chart158.xml" ContentType="application/vnd.openxmlformats-officedocument.drawingml.chart+xml"/>
  <Override PartName="/xl/charts/chart169.xml" ContentType="application/vnd.openxmlformats-officedocument.drawingml.chart+xml"/>
  <Override PartName="/xl/charts/chart2.xml" ContentType="application/vnd.openxmlformats-officedocument.drawingml.chart+xml"/>
  <Override PartName="/xl/charts/chart69.xml" ContentType="application/vnd.openxmlformats-officedocument.drawingml.chart+xml"/>
  <Override PartName="/xl/drawings/drawing4.xml" ContentType="application/vnd.openxmlformats-officedocument.drawing+xml"/>
  <Override PartName="/xl/charts/chart98.xml" ContentType="application/vnd.openxmlformats-officedocument.drawingml.chart+xml"/>
  <Override PartName="/xl/charts/chart118.xml" ContentType="application/vnd.openxmlformats-officedocument.drawingml.chart+xml"/>
  <Override PartName="/xl/charts/chart129.xml" ContentType="application/vnd.openxmlformats-officedocument.drawingml.chart+xml"/>
  <Override PartName="/xl/charts/chart147.xml" ContentType="application/vnd.openxmlformats-officedocument.drawingml.chart+xml"/>
  <Override PartName="/xl/charts/chart165.xml" ContentType="application/vnd.openxmlformats-officedocument.drawingml.chart+xml"/>
  <Default Extension="rels" ContentType="application/vnd.openxmlformats-package.relationships+xml"/>
  <Override PartName="/xl/worksheets/sheet5.xml" ContentType="application/vnd.openxmlformats-officedocument.spreadsheetml.worksheet+xml"/>
  <Override PartName="/xl/charts/chart29.xml" ContentType="application/vnd.openxmlformats-officedocument.drawingml.chart+xml"/>
  <Override PartName="/xl/charts/chart58.xml" ContentType="application/vnd.openxmlformats-officedocument.drawingml.chart+xml"/>
  <Override PartName="/xl/charts/chart76.xml" ContentType="application/vnd.openxmlformats-officedocument.drawingml.chart+xml"/>
  <Override PartName="/xl/charts/chart87.xml" ContentType="application/vnd.openxmlformats-officedocument.drawingml.chart+xml"/>
  <Override PartName="/xl/charts/chart107.xml" ContentType="application/vnd.openxmlformats-officedocument.drawingml.chart+xml"/>
  <Override PartName="/xl/charts/chart136.xml" ContentType="application/vnd.openxmlformats-officedocument.drawingml.chart+xml"/>
  <Override PartName="/xl/charts/chart154.xml" ContentType="application/vnd.openxmlformats-officedocument.drawingml.chart+xml"/>
  <Override PartName="/xl/charts/chart18.xml" ContentType="application/vnd.openxmlformats-officedocument.drawingml.chart+xml"/>
  <Override PartName="/xl/charts/chart36.xml" ContentType="application/vnd.openxmlformats-officedocument.drawingml.chart+xml"/>
  <Override PartName="/xl/charts/chart47.xml" ContentType="application/vnd.openxmlformats-officedocument.drawingml.chart+xml"/>
  <Override PartName="/xl/charts/chart65.xml" ContentType="application/vnd.openxmlformats-officedocument.drawingml.chart+xml"/>
  <Override PartName="/xl/charts/chart83.xml" ContentType="application/vnd.openxmlformats-officedocument.drawingml.chart+xml"/>
  <Override PartName="/xl/charts/chart94.xml" ContentType="application/vnd.openxmlformats-officedocument.drawingml.chart+xml"/>
  <Override PartName="/xl/charts/chart114.xml" ContentType="application/vnd.openxmlformats-officedocument.drawingml.chart+xml"/>
  <Override PartName="/xl/charts/chart125.xml" ContentType="application/vnd.openxmlformats-officedocument.drawingml.chart+xml"/>
  <Override PartName="/xl/charts/chart143.xml" ContentType="application/vnd.openxmlformats-officedocument.drawingml.chart+xml"/>
  <Override PartName="/xl/charts/chart161.xml" ContentType="application/vnd.openxmlformats-officedocument.drawingml.chart+xml"/>
  <Override PartName="/xl/worksheets/sheet1.xml" ContentType="application/vnd.openxmlformats-officedocument.spreadsheetml.worksheet+xml"/>
  <Override PartName="/xl/charts/chart25.xml" ContentType="application/vnd.openxmlformats-officedocument.drawingml.chart+xml"/>
  <Override PartName="/xl/charts/chart54.xml" ContentType="application/vnd.openxmlformats-officedocument.drawingml.chart+xml"/>
  <Override PartName="/xl/charts/chart72.xml" ContentType="application/vnd.openxmlformats-officedocument.drawingml.chart+xml"/>
  <Override PartName="/xl/charts/chart103.xml" ContentType="application/vnd.openxmlformats-officedocument.drawingml.chart+xml"/>
  <Override PartName="/xl/charts/chart132.xml" ContentType="application/vnd.openxmlformats-officedocument.drawingml.chart+xml"/>
  <Override PartName="/xl/charts/chart150.xml" ContentType="application/vnd.openxmlformats-officedocument.drawingml.chart+xml"/>
  <Override PartName="/xl/charts/chart14.xml" ContentType="application/vnd.openxmlformats-officedocument.drawingml.chart+xml"/>
  <Override PartName="/xl/charts/chart32.xml" ContentType="application/vnd.openxmlformats-officedocument.drawingml.chart+xml"/>
  <Override PartName="/xl/charts/chart43.xml" ContentType="application/vnd.openxmlformats-officedocument.drawingml.chart+xml"/>
  <Override PartName="/xl/charts/chart61.xml" ContentType="application/vnd.openxmlformats-officedocument.drawingml.chart+xml"/>
  <Override PartName="/xl/charts/chart90.xml" ContentType="application/vnd.openxmlformats-officedocument.drawingml.chart+xml"/>
  <Override PartName="/xl/charts/chart110.xml" ContentType="application/vnd.openxmlformats-officedocument.drawingml.chart+xml"/>
  <Override PartName="/xl/charts/chart121.xml" ContentType="application/vnd.openxmlformats-officedocument.drawingml.chart+xml"/>
  <Override PartName="/xl/charts/chart21.xml" ContentType="application/vnd.openxmlformats-officedocument.drawingml.chart+xml"/>
  <Override PartName="/xl/charts/chart50.xml" ContentType="application/vnd.openxmlformats-officedocument.drawingml.chart+xml"/>
  <Override PartName="/xl/charts/chart7.xml" ContentType="application/vnd.openxmlformats-officedocument.drawingml.chart+xml"/>
  <Override PartName="/xl/charts/chart10.xml" ContentType="application/vnd.openxmlformats-officedocument.drawingml.chart+xml"/>
  <Override PartName="/xl/charts/chart99.xml" ContentType="application/vnd.openxmlformats-officedocument.drawingml.chart+xml"/>
  <Override PartName="/xl/charts/chart159.xml" ContentType="application/vnd.openxmlformats-officedocument.drawingml.chart+xml"/>
  <Override PartName="/xl/worksheets/sheet6.xml" ContentType="application/vnd.openxmlformats-officedocument.spreadsheetml.worksheet+xml"/>
  <Override PartName="/xl/charts/chart3.xml" ContentType="application/vnd.openxmlformats-officedocument.drawingml.chart+xml"/>
  <Override PartName="/xl/charts/chart59.xml" ContentType="application/vnd.openxmlformats-officedocument.drawingml.chart+xml"/>
  <Override PartName="/xl/charts/chart88.xml" ContentType="application/vnd.openxmlformats-officedocument.drawingml.chart+xml"/>
  <Override PartName="/xl/drawings/drawing5.xml" ContentType="application/vnd.openxmlformats-officedocument.drawing+xml"/>
  <Override PartName="/xl/charts/chart119.xml" ContentType="application/vnd.openxmlformats-officedocument.drawingml.chart+xml"/>
  <Override PartName="/xl/charts/chart137.xml" ContentType="application/vnd.openxmlformats-officedocument.drawingml.chart+xml"/>
  <Override PartName="/xl/charts/chart148.xml" ContentType="application/vnd.openxmlformats-officedocument.drawingml.chart+xml"/>
  <Override PartName="/xl/charts/chart166.xml" ContentType="application/vnd.openxmlformats-officedocument.drawingml.chart+xml"/>
  <Override PartName="/xl/charts/chart48.xml" ContentType="application/vnd.openxmlformats-officedocument.drawingml.chart+xml"/>
  <Override PartName="/xl/charts/chart77.xml" ContentType="application/vnd.openxmlformats-officedocument.drawingml.chart+xml"/>
  <Override PartName="/xl/charts/chart95.xml" ContentType="application/vnd.openxmlformats-officedocument.drawingml.chart+xml"/>
  <Override PartName="/xl/charts/chart108.xml" ContentType="application/vnd.openxmlformats-officedocument.drawingml.chart+xml"/>
  <Override PartName="/xl/charts/chart126.xml" ContentType="application/vnd.openxmlformats-officedocument.drawingml.chart+xml"/>
  <Override PartName="/xl/charts/chart155.xml" ContentType="application/vnd.openxmlformats-officedocument.drawingml.chart+xml"/>
  <Override PartName="/xl/worksheets/sheet2.xml" ContentType="application/vnd.openxmlformats-officedocument.spreadsheetml.worksheet+xml"/>
  <Override PartName="/xl/drawings/drawing1.xml" ContentType="application/vnd.openxmlformats-officedocument.drawing+xml"/>
  <Override PartName="/xl/charts/chart19.xml" ContentType="application/vnd.openxmlformats-officedocument.drawingml.chart+xml"/>
  <Override PartName="/xl/charts/chart37.xml" ContentType="application/vnd.openxmlformats-officedocument.drawingml.chart+xml"/>
  <Override PartName="/xl/charts/chart55.xml" ContentType="application/vnd.openxmlformats-officedocument.drawingml.chart+xml"/>
  <Override PartName="/xl/charts/chart66.xml" ContentType="application/vnd.openxmlformats-officedocument.drawingml.chart+xml"/>
  <Override PartName="/xl/charts/chart84.xml" ContentType="application/vnd.openxmlformats-officedocument.drawingml.chart+xml"/>
  <Override PartName="/xl/charts/chart115.xml" ContentType="application/vnd.openxmlformats-officedocument.drawingml.chart+xml"/>
  <Override PartName="/xl/charts/chart133.xml" ContentType="application/vnd.openxmlformats-officedocument.drawingml.chart+xml"/>
  <Override PartName="/xl/charts/chart144.xml" ContentType="application/vnd.openxmlformats-officedocument.drawingml.chart+xml"/>
  <Override PartName="/xl/charts/chart162.xml" ContentType="application/vnd.openxmlformats-officedocument.drawingml.chart+xml"/>
  <Override PartName="/xl/charts/chart26.xml" ContentType="application/vnd.openxmlformats-officedocument.drawingml.chart+xml"/>
  <Override PartName="/xl/charts/chart44.xml" ContentType="application/vnd.openxmlformats-officedocument.drawingml.chart+xml"/>
  <Override PartName="/xl/charts/chart73.xml" ContentType="application/vnd.openxmlformats-officedocument.drawingml.chart+xml"/>
  <Override PartName="/xl/charts/chart91.xml" ContentType="application/vnd.openxmlformats-officedocument.drawingml.chart+xml"/>
  <Override PartName="/xl/charts/chart104.xml" ContentType="application/vnd.openxmlformats-officedocument.drawingml.chart+xml"/>
  <Override PartName="/xl/charts/chart122.xml" ContentType="application/vnd.openxmlformats-officedocument.drawingml.chart+xml"/>
  <Override PartName="/xl/charts/chart140.xml" ContentType="application/vnd.openxmlformats-officedocument.drawingml.chart+xml"/>
  <Override PartName="/xl/charts/chart151.xml" ContentType="application/vnd.openxmlformats-officedocument.drawingml.chart+xml"/>
  <Override PartName="/xl/charts/chart15.xml" ContentType="application/vnd.openxmlformats-officedocument.drawingml.chart+xml"/>
  <Override PartName="/xl/charts/chart33.xml" ContentType="application/vnd.openxmlformats-officedocument.drawingml.chart+xml"/>
  <Override PartName="/xl/charts/chart51.xml" ContentType="application/vnd.openxmlformats-officedocument.drawingml.chart+xml"/>
  <Override PartName="/xl/charts/chart62.xml" ContentType="application/vnd.openxmlformats-officedocument.drawingml.chart+xml"/>
  <Override PartName="/xl/charts/chart80.xml" ContentType="application/vnd.openxmlformats-officedocument.drawingml.chart+xml"/>
  <Override PartName="/xl/charts/chart111.xml" ContentType="application/vnd.openxmlformats-officedocument.drawingml.chart+xml"/>
  <Override PartName="/xl/charts/chart8.xml" ContentType="application/vnd.openxmlformats-officedocument.drawingml.chart+xml"/>
  <Override PartName="/xl/charts/chart11.xml" ContentType="application/vnd.openxmlformats-officedocument.drawingml.chart+xml"/>
  <Override PartName="/xl/charts/chart22.xml" ContentType="application/vnd.openxmlformats-officedocument.drawingml.chart+xml"/>
  <Override PartName="/xl/charts/chart40.xml" ContentType="application/vnd.openxmlformats-officedocument.drawingml.chart+xml"/>
  <Override PartName="/xl/charts/chart100.xml" ContentType="application/vnd.openxmlformats-officedocument.drawingml.chart+xml"/>
  <Override PartName="/xl/drawings/drawing6.xml" ContentType="application/vnd.openxmlformats-officedocument.drawing+xml"/>
  <Override PartName="/xl/charts/chart149.xml" ContentType="application/vnd.openxmlformats-officedocument.drawingml.chart+xml"/>
  <Override PartName="/customXml/itemProps1.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45" windowWidth="16275" windowHeight="7995" firstSheet="3" activeTab="9"/>
  </bookViews>
  <sheets>
    <sheet name="Instructions for Use" sheetId="7" r:id="rId1"/>
    <sheet name="Validation List" sheetId="1" state="hidden" r:id="rId2"/>
    <sheet name="Survey Tool" sheetId="2" r:id="rId3"/>
    <sheet name="Comments" sheetId="9" r:id="rId4"/>
    <sheet name="OverallResults" sheetId="3" r:id="rId5"/>
    <sheet name="QIP" sheetId="13" r:id="rId6"/>
    <sheet name="Search by Gender" sheetId="5" r:id="rId7"/>
    <sheet name="Search by Age" sheetId="10" r:id="rId8"/>
    <sheet name="Search by Health Card" sheetId="11" r:id="rId9"/>
    <sheet name="Search by PCT" sheetId="12" r:id="rId10"/>
  </sheets>
  <definedNames>
    <definedName name="Clinical_Background" localSheetId="9">#REF!</definedName>
    <definedName name="Clinical_Background">#REF!</definedName>
    <definedName name="Condition_1" localSheetId="7">'Search by Age'!$B$7</definedName>
    <definedName name="Condition_1" localSheetId="6">'Search by Gender'!$B$7</definedName>
    <definedName name="Condition_1" localSheetId="8">'Search by Health Card'!$B$7</definedName>
    <definedName name="Condition_1" localSheetId="9">'Search by PCT'!$B$7</definedName>
    <definedName name="Condition_1">'Search by Gender'!$B$7</definedName>
    <definedName name="No_in_Audit">'Survey Tool'!$B$6</definedName>
    <definedName name="No_who_answered_survey" localSheetId="7">'Search by Age'!$B$8</definedName>
    <definedName name="No_who_answered_survey" localSheetId="6">'Search by Gender'!$B$8</definedName>
    <definedName name="No_who_answered_survey" localSheetId="8">'Search by Health Card'!$B$8</definedName>
    <definedName name="No_who_answered_survey" localSheetId="9">'Search by PCT'!$B$8</definedName>
    <definedName name="No_who_answered_survey">#REF!</definedName>
    <definedName name="Not_answered" localSheetId="3">Table2[Your gender. Are you?]</definedName>
    <definedName name="Not_answered" localSheetId="7">Table2[Your gender. Are you?]</definedName>
    <definedName name="Not_answered" localSheetId="8">Table2[Your gender. Are you?]</definedName>
    <definedName name="Not_answered" localSheetId="9">Table2[Your gender. Are you?]</definedName>
    <definedName name="Not_answered">Table2[Your gender. Are you?]</definedName>
    <definedName name="Quest1">'Validation List'!$B$6:$B$15</definedName>
    <definedName name="Quest10">'Validation List'!$K$6:$K$15</definedName>
    <definedName name="Quest11">'Validation List'!$L$6:$L$15</definedName>
    <definedName name="Quest12">'Validation List'!$M$6:$M$15</definedName>
    <definedName name="Quest13">'Validation List'!$N$6:$N$15</definedName>
    <definedName name="Quest14">'Validation List'!$O$6:$O$15</definedName>
    <definedName name="Quest15">'Validation List'!$P$6:$P$15</definedName>
    <definedName name="Quest16">'Validation List'!$Q$6:$Q$15</definedName>
    <definedName name="Quest17">'Validation List'!$R$6:$R$15</definedName>
    <definedName name="Quest18">'Validation List'!$S$6:$S$15</definedName>
    <definedName name="Quest19">'Validation List'!$T$6:$T$15</definedName>
    <definedName name="Quest2">'Validation List'!$C$6:$C$15</definedName>
    <definedName name="Quest20">'Validation List'!$U$6:$U$15</definedName>
    <definedName name="Quest21">'Validation List'!$V$6:$V$15</definedName>
    <definedName name="Quest22">'Validation List'!$W$6:$W$15</definedName>
    <definedName name="Quest23">'Validation List'!$X$6:$X$15</definedName>
    <definedName name="Quest24">'Validation List'!$Y$6:$Y$15</definedName>
    <definedName name="Quest25">'Validation List'!$Z$6:$Z$15</definedName>
    <definedName name="Quest26">'Validation List'!$AA$6:$AA$15</definedName>
    <definedName name="Quest27">'Validation List'!$AB$6:$AB$15</definedName>
    <definedName name="Quest28">'Validation List'!$AC$6:$AC$15</definedName>
    <definedName name="Quest29">'Validation List'!$AD$6:$AD$15</definedName>
    <definedName name="Quest3">'Validation List'!$D$6:$D$15</definedName>
    <definedName name="Quest30">'Validation List'!$AE$6:$AE$15</definedName>
    <definedName name="Quest31">'Validation List'!$AF$6:$AF$15</definedName>
    <definedName name="Quest32">'Validation List'!$AG$6:$AG$15</definedName>
    <definedName name="Quest33">'Validation List'!$AH$6:$AH$15</definedName>
    <definedName name="Quest34">'Validation List'!$AI$6:$AI$15</definedName>
    <definedName name="Quest35">'Validation List'!$AJ$6:$AJ$15</definedName>
    <definedName name="Quest36">'Validation List'!$AK$6:$AK$15</definedName>
    <definedName name="Quest37">'Validation List'!$AL$6:$AL$15</definedName>
    <definedName name="Quest38">'Validation List'!$AM$6:$AM$15</definedName>
    <definedName name="Quest39">'Validation List'!$AN$6:$AN$15</definedName>
    <definedName name="Quest4">'Validation List'!$E$6:$E$15</definedName>
    <definedName name="Quest40">'Validation List'!$AO$6:$AO$15</definedName>
    <definedName name="Quest41">'Validation List'!$AP$6:$AP$15</definedName>
    <definedName name="Quest42">'Validation List'!$AQ$6:$AQ$15</definedName>
    <definedName name="Quest43">'Validation List'!$AR$6:$AR$15</definedName>
    <definedName name="Quest44">'Validation List'!$AS$6:$AS$15</definedName>
    <definedName name="Quest45">'Validation List'!$AT$6:$AT$15</definedName>
    <definedName name="Quest46">'Validation List'!$AU$6:$AU$15</definedName>
    <definedName name="Quest47">'Validation List'!$AV$6:$AV$15</definedName>
    <definedName name="Quest48">'Validation List'!$AW$6:$AW$15</definedName>
    <definedName name="Quest49">'Validation List'!$AX$6:$AX$15</definedName>
    <definedName name="Quest5">'Validation List'!$F$6:$F$15</definedName>
    <definedName name="Quest50">'Validation List'!$AY$6:$AY$15</definedName>
    <definedName name="Quest51">'Validation List'!$AZ$6:$AZ$15</definedName>
    <definedName name="Quest52">'Validation List'!$BA$6:$BA$15</definedName>
    <definedName name="Quest53">'Validation List'!$BB$6:$BB$15</definedName>
    <definedName name="Quest54">'Validation List'!$BC$6:$BC$15</definedName>
    <definedName name="Quest55">'Validation List'!$BD$6:$BD$15</definedName>
    <definedName name="Quest56">'Validation List'!$BE$6:$BE$15</definedName>
    <definedName name="Quest57">'Validation List'!$BF$6:$BF$15</definedName>
    <definedName name="Quest58">'Validation List'!$BG$6:$BG$15</definedName>
    <definedName name="Quest59">'Validation List'!$BH$6:$BH$15</definedName>
    <definedName name="Quest6">'Validation List'!$G$17:$G$34</definedName>
    <definedName name="Quest60">'Validation List'!$BI$6:$BI$15</definedName>
    <definedName name="Quest61">'Validation List'!$BJ$6:$BJ$15</definedName>
    <definedName name="Quest62">'Validation List'!$BK$6:$BK$15</definedName>
    <definedName name="Quest7">'Validation List'!$H$6:$H$15</definedName>
    <definedName name="Quest8">'Validation List'!$I$6:$I$15</definedName>
    <definedName name="Quest9">'Validation List'!$J$6:$J$15</definedName>
  </definedNames>
  <calcPr calcId="125725"/>
</workbook>
</file>

<file path=xl/calcChain.xml><?xml version="1.0" encoding="utf-8"?>
<calcChain xmlns="http://schemas.openxmlformats.org/spreadsheetml/2006/main">
  <c r="A108" i="12"/>
  <c r="B108" s="1"/>
  <c r="B108" i="11"/>
  <c r="A108"/>
  <c r="A108" i="10"/>
  <c r="B108" s="1"/>
  <c r="B108" i="5"/>
  <c r="A108"/>
  <c r="B106" i="3"/>
  <c r="C106" s="1"/>
  <c r="A104"/>
  <c r="A105"/>
  <c r="A106"/>
  <c r="B79" i="12"/>
  <c r="C79" s="1"/>
  <c r="B83"/>
  <c r="C83" s="1"/>
  <c r="A70"/>
  <c r="A71"/>
  <c r="A72"/>
  <c r="A73"/>
  <c r="A74"/>
  <c r="A75"/>
  <c r="A76"/>
  <c r="B76" s="1"/>
  <c r="A77"/>
  <c r="B77" s="1"/>
  <c r="C77" s="1"/>
  <c r="A78"/>
  <c r="B78" s="1"/>
  <c r="A79"/>
  <c r="A80"/>
  <c r="B80" s="1"/>
  <c r="A81"/>
  <c r="B81" s="1"/>
  <c r="C81" s="1"/>
  <c r="A82"/>
  <c r="B82" s="1"/>
  <c r="A83"/>
  <c r="A84"/>
  <c r="B84" s="1"/>
  <c r="A85"/>
  <c r="B85" s="1"/>
  <c r="C85" s="1"/>
  <c r="A69"/>
  <c r="A84" i="11"/>
  <c r="B84" s="1"/>
  <c r="A85"/>
  <c r="B85" s="1"/>
  <c r="A70"/>
  <c r="A71"/>
  <c r="A72"/>
  <c r="A73"/>
  <c r="A74"/>
  <c r="A75"/>
  <c r="A76"/>
  <c r="B76" s="1"/>
  <c r="A77"/>
  <c r="B77" s="1"/>
  <c r="A78"/>
  <c r="B78" s="1"/>
  <c r="A79"/>
  <c r="B79" s="1"/>
  <c r="A80"/>
  <c r="B80" s="1"/>
  <c r="A81"/>
  <c r="B81" s="1"/>
  <c r="A82"/>
  <c r="B82" s="1"/>
  <c r="A83"/>
  <c r="B83" s="1"/>
  <c r="A69"/>
  <c r="B82" i="10"/>
  <c r="B84"/>
  <c r="A84"/>
  <c r="A85"/>
  <c r="B85" s="1"/>
  <c r="A83"/>
  <c r="B83" s="1"/>
  <c r="A70"/>
  <c r="A71"/>
  <c r="A72"/>
  <c r="A73"/>
  <c r="A74"/>
  <c r="A75"/>
  <c r="A76"/>
  <c r="B76" s="1"/>
  <c r="A77"/>
  <c r="B77" s="1"/>
  <c r="A78"/>
  <c r="B78" s="1"/>
  <c r="A79"/>
  <c r="B79" s="1"/>
  <c r="A80"/>
  <c r="B80" s="1"/>
  <c r="A81"/>
  <c r="B81" s="1"/>
  <c r="A82"/>
  <c r="A69"/>
  <c r="A70" i="5"/>
  <c r="A71"/>
  <c r="A72"/>
  <c r="A73"/>
  <c r="A74"/>
  <c r="A75"/>
  <c r="A76"/>
  <c r="B76" s="1"/>
  <c r="A77"/>
  <c r="B77" s="1"/>
  <c r="A78"/>
  <c r="B78" s="1"/>
  <c r="A79"/>
  <c r="B79" s="1"/>
  <c r="A80"/>
  <c r="B80" s="1"/>
  <c r="A81"/>
  <c r="B81" s="1"/>
  <c r="A82"/>
  <c r="B82" s="1"/>
  <c r="A83"/>
  <c r="B83" s="1"/>
  <c r="A84"/>
  <c r="B84" s="1"/>
  <c r="A85"/>
  <c r="B85" s="1"/>
  <c r="A69"/>
  <c r="A68" i="3"/>
  <c r="A69"/>
  <c r="A70"/>
  <c r="A71"/>
  <c r="A72"/>
  <c r="A73"/>
  <c r="A74"/>
  <c r="A75"/>
  <c r="A76"/>
  <c r="A77"/>
  <c r="A78"/>
  <c r="A79"/>
  <c r="B79" s="1"/>
  <c r="A80"/>
  <c r="B80" s="1"/>
  <c r="A81"/>
  <c r="B81" s="1"/>
  <c r="A82"/>
  <c r="B82" s="1"/>
  <c r="C82" s="1"/>
  <c r="A83"/>
  <c r="B83" s="1"/>
  <c r="D82" i="12" l="1"/>
  <c r="C82"/>
  <c r="C84"/>
  <c r="D84"/>
  <c r="C80"/>
  <c r="D80"/>
  <c r="C76"/>
  <c r="D76"/>
  <c r="D78"/>
  <c r="C78"/>
  <c r="D83"/>
  <c r="D79"/>
  <c r="D106" i="3"/>
  <c r="C81"/>
  <c r="D81"/>
  <c r="D83"/>
  <c r="C83"/>
  <c r="D79"/>
  <c r="C79"/>
  <c r="D80"/>
  <c r="C80"/>
  <c r="D85" i="12"/>
  <c r="D81"/>
  <c r="D77"/>
  <c r="D82" i="3"/>
  <c r="B74"/>
  <c r="D74" s="1"/>
  <c r="B75"/>
  <c r="D75" s="1"/>
  <c r="B76"/>
  <c r="C76" s="1"/>
  <c r="B77"/>
  <c r="C77" s="1"/>
  <c r="B78"/>
  <c r="D78" s="1"/>
  <c r="A67"/>
  <c r="D76" l="1"/>
  <c r="D77"/>
  <c r="C75"/>
  <c r="C78"/>
  <c r="C74"/>
  <c r="A1" i="13"/>
  <c r="B3"/>
  <c r="B4"/>
  <c r="B5"/>
  <c r="B6"/>
  <c r="B2"/>
  <c r="A6"/>
  <c r="A5"/>
  <c r="A3"/>
  <c r="A4"/>
  <c r="A2"/>
  <c r="A98" i="12" l="1"/>
  <c r="B98" s="1"/>
  <c r="B75"/>
  <c r="A98" i="11"/>
  <c r="B98" s="1"/>
  <c r="B75"/>
  <c r="A98" i="10"/>
  <c r="B98" s="1"/>
  <c r="B75"/>
  <c r="A98" i="5"/>
  <c r="B98" s="1"/>
  <c r="B75"/>
  <c r="A96" i="3"/>
  <c r="B96" s="1"/>
  <c r="D96" s="1"/>
  <c r="B73"/>
  <c r="A139" i="12"/>
  <c r="B139" s="1"/>
  <c r="A130"/>
  <c r="B130" s="1"/>
  <c r="A139" i="11"/>
  <c r="B139" s="1"/>
  <c r="A130"/>
  <c r="B130" s="1"/>
  <c r="A139" i="10"/>
  <c r="B139" s="1"/>
  <c r="A130"/>
  <c r="B130" s="1"/>
  <c r="A139" i="5"/>
  <c r="B139" s="1"/>
  <c r="A130"/>
  <c r="B130" s="1"/>
  <c r="A137" i="3"/>
  <c r="B137" s="1"/>
  <c r="A128"/>
  <c r="B128" s="1"/>
  <c r="A42" i="12"/>
  <c r="B42" s="1"/>
  <c r="A42" i="11"/>
  <c r="B42" s="1"/>
  <c r="A42" i="10"/>
  <c r="B42" s="1"/>
  <c r="A42" i="5"/>
  <c r="B42" s="1"/>
  <c r="A40" i="3"/>
  <c r="B40" s="1"/>
  <c r="B8" i="12"/>
  <c r="A343"/>
  <c r="B343" s="1"/>
  <c r="A342"/>
  <c r="B342" s="1"/>
  <c r="A341"/>
  <c r="B341" s="1"/>
  <c r="A339"/>
  <c r="A335"/>
  <c r="B335" s="1"/>
  <c r="A334"/>
  <c r="B334" s="1"/>
  <c r="A333"/>
  <c r="B333" s="1"/>
  <c r="A331"/>
  <c r="A327"/>
  <c r="B327" s="1"/>
  <c r="A326"/>
  <c r="B326" s="1"/>
  <c r="A325"/>
  <c r="B325" s="1"/>
  <c r="A324"/>
  <c r="B324" s="1"/>
  <c r="A323"/>
  <c r="B323" s="1"/>
  <c r="A322"/>
  <c r="B322" s="1"/>
  <c r="A320"/>
  <c r="A316"/>
  <c r="B316" s="1"/>
  <c r="A315"/>
  <c r="B315" s="1"/>
  <c r="A314"/>
  <c r="B314" s="1"/>
  <c r="A312"/>
  <c r="A308"/>
  <c r="B308" s="1"/>
  <c r="A307"/>
  <c r="B307" s="1"/>
  <c r="A306"/>
  <c r="B306" s="1"/>
  <c r="A305"/>
  <c r="B305" s="1"/>
  <c r="A303"/>
  <c r="A299"/>
  <c r="B299" s="1"/>
  <c r="A298"/>
  <c r="B298" s="1"/>
  <c r="A297"/>
  <c r="B297" s="1"/>
  <c r="A296"/>
  <c r="B296" s="1"/>
  <c r="A294"/>
  <c r="A290"/>
  <c r="B290" s="1"/>
  <c r="A289"/>
  <c r="B289" s="1"/>
  <c r="A288"/>
  <c r="B288" s="1"/>
  <c r="A287"/>
  <c r="B287" s="1"/>
  <c r="A285"/>
  <c r="A281"/>
  <c r="B281" s="1"/>
  <c r="A280"/>
  <c r="B280" s="1"/>
  <c r="A279"/>
  <c r="B279" s="1"/>
  <c r="A278"/>
  <c r="B278" s="1"/>
  <c r="A276"/>
  <c r="A272"/>
  <c r="B272" s="1"/>
  <c r="A271"/>
  <c r="B271" s="1"/>
  <c r="A270"/>
  <c r="B270" s="1"/>
  <c r="A269"/>
  <c r="B269" s="1"/>
  <c r="A267"/>
  <c r="A263"/>
  <c r="B263" s="1"/>
  <c r="A262"/>
  <c r="B262" s="1"/>
  <c r="A261"/>
  <c r="B261" s="1"/>
  <c r="A260"/>
  <c r="B260" s="1"/>
  <c r="A258"/>
  <c r="A254"/>
  <c r="B254" s="1"/>
  <c r="A253"/>
  <c r="B253" s="1"/>
  <c r="A252"/>
  <c r="B252" s="1"/>
  <c r="A251"/>
  <c r="B251" s="1"/>
  <c r="A249"/>
  <c r="A245"/>
  <c r="B245" s="1"/>
  <c r="A244"/>
  <c r="B244" s="1"/>
  <c r="A243"/>
  <c r="B243" s="1"/>
  <c r="A242"/>
  <c r="B242" s="1"/>
  <c r="A240"/>
  <c r="A236"/>
  <c r="B236" s="1"/>
  <c r="A235"/>
  <c r="B235" s="1"/>
  <c r="A234"/>
  <c r="B234" s="1"/>
  <c r="A233"/>
  <c r="B233" s="1"/>
  <c r="A231"/>
  <c r="A227"/>
  <c r="B227" s="1"/>
  <c r="A226"/>
  <c r="B226" s="1"/>
  <c r="A225"/>
  <c r="B225" s="1"/>
  <c r="A224"/>
  <c r="B224" s="1"/>
  <c r="A222"/>
  <c r="A218"/>
  <c r="B218" s="1"/>
  <c r="A217"/>
  <c r="B217" s="1"/>
  <c r="A216"/>
  <c r="B216" s="1"/>
  <c r="A214"/>
  <c r="A210"/>
  <c r="B210" s="1"/>
  <c r="A209"/>
  <c r="B209" s="1"/>
  <c r="A208"/>
  <c r="B208" s="1"/>
  <c r="A206"/>
  <c r="A202"/>
  <c r="B202" s="1"/>
  <c r="A201"/>
  <c r="B201" s="1"/>
  <c r="A200"/>
  <c r="B200" s="1"/>
  <c r="A199"/>
  <c r="B199" s="1"/>
  <c r="A197"/>
  <c r="A193"/>
  <c r="B193" s="1"/>
  <c r="A192"/>
  <c r="B192" s="1"/>
  <c r="D192" s="1"/>
  <c r="A191"/>
  <c r="B191" s="1"/>
  <c r="A190"/>
  <c r="B190" s="1"/>
  <c r="A188"/>
  <c r="A184"/>
  <c r="B184" s="1"/>
  <c r="A183"/>
  <c r="B183" s="1"/>
  <c r="A182"/>
  <c r="B182" s="1"/>
  <c r="A180"/>
  <c r="A176"/>
  <c r="B176" s="1"/>
  <c r="A175"/>
  <c r="B175" s="1"/>
  <c r="A174"/>
  <c r="B174" s="1"/>
  <c r="A172"/>
  <c r="A168"/>
  <c r="B168" s="1"/>
  <c r="A167"/>
  <c r="B167" s="1"/>
  <c r="A166"/>
  <c r="B166" s="1"/>
  <c r="A165"/>
  <c r="B165" s="1"/>
  <c r="A163"/>
  <c r="A159"/>
  <c r="B159" s="1"/>
  <c r="A158"/>
  <c r="B158" s="1"/>
  <c r="A157"/>
  <c r="B157" s="1"/>
  <c r="A156"/>
  <c r="B156" s="1"/>
  <c r="D156" s="1"/>
  <c r="A154"/>
  <c r="A150"/>
  <c r="B150" s="1"/>
  <c r="A149"/>
  <c r="B149" s="1"/>
  <c r="A148"/>
  <c r="B148" s="1"/>
  <c r="A147"/>
  <c r="B147" s="1"/>
  <c r="A146"/>
  <c r="B146" s="1"/>
  <c r="A144"/>
  <c r="A140"/>
  <c r="B140" s="1"/>
  <c r="A138"/>
  <c r="B138" s="1"/>
  <c r="A137"/>
  <c r="B137" s="1"/>
  <c r="A135"/>
  <c r="A131"/>
  <c r="B131" s="1"/>
  <c r="A129"/>
  <c r="B129" s="1"/>
  <c r="A128"/>
  <c r="B128" s="1"/>
  <c r="A127"/>
  <c r="B127" s="1"/>
  <c r="A126"/>
  <c r="B126" s="1"/>
  <c r="D126" s="1"/>
  <c r="A124"/>
  <c r="A120"/>
  <c r="B120" s="1"/>
  <c r="A119"/>
  <c r="B119" s="1"/>
  <c r="A118"/>
  <c r="B118" s="1"/>
  <c r="A117"/>
  <c r="B117" s="1"/>
  <c r="A116"/>
  <c r="B116" s="1"/>
  <c r="A115"/>
  <c r="B115" s="1"/>
  <c r="A113"/>
  <c r="A109"/>
  <c r="B109" s="1"/>
  <c r="A107"/>
  <c r="B107" s="1"/>
  <c r="A106"/>
  <c r="B106" s="1"/>
  <c r="A105"/>
  <c r="B105" s="1"/>
  <c r="A103"/>
  <c r="A99"/>
  <c r="B99" s="1"/>
  <c r="A97"/>
  <c r="B97" s="1"/>
  <c r="A96"/>
  <c r="B96" s="1"/>
  <c r="A95"/>
  <c r="B95" s="1"/>
  <c r="A94"/>
  <c r="B94" s="1"/>
  <c r="A93"/>
  <c r="B93" s="1"/>
  <c r="A92"/>
  <c r="B92" s="1"/>
  <c r="A90"/>
  <c r="A86"/>
  <c r="B86" s="1"/>
  <c r="C86" s="1"/>
  <c r="B74"/>
  <c r="D74" s="1"/>
  <c r="B73"/>
  <c r="D73" s="1"/>
  <c r="B72"/>
  <c r="C72" s="1"/>
  <c r="B71"/>
  <c r="C71" s="1"/>
  <c r="B70"/>
  <c r="D70" s="1"/>
  <c r="B69"/>
  <c r="C69" s="1"/>
  <c r="A67"/>
  <c r="A63"/>
  <c r="B63" s="1"/>
  <c r="A62"/>
  <c r="B62" s="1"/>
  <c r="A61"/>
  <c r="B61" s="1"/>
  <c r="A60"/>
  <c r="B60" s="1"/>
  <c r="A59"/>
  <c r="B59" s="1"/>
  <c r="A58"/>
  <c r="B58" s="1"/>
  <c r="A56"/>
  <c r="A52"/>
  <c r="B52" s="1"/>
  <c r="A51"/>
  <c r="B51" s="1"/>
  <c r="A50"/>
  <c r="B50" s="1"/>
  <c r="A49"/>
  <c r="B49" s="1"/>
  <c r="A47"/>
  <c r="A43"/>
  <c r="B43" s="1"/>
  <c r="A41"/>
  <c r="B41" s="1"/>
  <c r="A40"/>
  <c r="B40" s="1"/>
  <c r="A39"/>
  <c r="B39" s="1"/>
  <c r="A38"/>
  <c r="B38" s="1"/>
  <c r="A37"/>
  <c r="B37" s="1"/>
  <c r="A36"/>
  <c r="B36" s="1"/>
  <c r="A35"/>
  <c r="B35" s="1"/>
  <c r="A34"/>
  <c r="B34" s="1"/>
  <c r="A32"/>
  <c r="A27"/>
  <c r="B27" s="1"/>
  <c r="A26"/>
  <c r="B26" s="1"/>
  <c r="A25"/>
  <c r="B25" s="1"/>
  <c r="A24"/>
  <c r="B24" s="1"/>
  <c r="A23"/>
  <c r="B23" s="1"/>
  <c r="A22"/>
  <c r="B22" s="1"/>
  <c r="A21"/>
  <c r="B21" s="1"/>
  <c r="A19"/>
  <c r="A15"/>
  <c r="B15" s="1"/>
  <c r="A14"/>
  <c r="B14" s="1"/>
  <c r="A13"/>
  <c r="B13" s="1"/>
  <c r="A12"/>
  <c r="B12" s="1"/>
  <c r="A10"/>
  <c r="B6"/>
  <c r="A6"/>
  <c r="B5"/>
  <c r="A5"/>
  <c r="B4"/>
  <c r="A4"/>
  <c r="B3"/>
  <c r="A3"/>
  <c r="B2"/>
  <c r="A2"/>
  <c r="A1"/>
  <c r="B8" i="11"/>
  <c r="A343"/>
  <c r="B343" s="1"/>
  <c r="A342"/>
  <c r="B342" s="1"/>
  <c r="A341"/>
  <c r="B341" s="1"/>
  <c r="A339"/>
  <c r="A335"/>
  <c r="B335" s="1"/>
  <c r="A334"/>
  <c r="B334" s="1"/>
  <c r="A333"/>
  <c r="B333" s="1"/>
  <c r="A331"/>
  <c r="A327"/>
  <c r="B327" s="1"/>
  <c r="A326"/>
  <c r="B326" s="1"/>
  <c r="A325"/>
  <c r="B325" s="1"/>
  <c r="A324"/>
  <c r="B324" s="1"/>
  <c r="A323"/>
  <c r="B323" s="1"/>
  <c r="A322"/>
  <c r="B322" s="1"/>
  <c r="A320"/>
  <c r="A316"/>
  <c r="B316" s="1"/>
  <c r="A315"/>
  <c r="B315" s="1"/>
  <c r="A314"/>
  <c r="B314" s="1"/>
  <c r="A312"/>
  <c r="A308"/>
  <c r="B308" s="1"/>
  <c r="A307"/>
  <c r="B307" s="1"/>
  <c r="A306"/>
  <c r="B306" s="1"/>
  <c r="A305"/>
  <c r="B305" s="1"/>
  <c r="A303"/>
  <c r="A299"/>
  <c r="B299" s="1"/>
  <c r="A298"/>
  <c r="B298" s="1"/>
  <c r="A297"/>
  <c r="B297" s="1"/>
  <c r="A296"/>
  <c r="B296" s="1"/>
  <c r="A294"/>
  <c r="A290"/>
  <c r="B290" s="1"/>
  <c r="A289"/>
  <c r="B289" s="1"/>
  <c r="A288"/>
  <c r="B288" s="1"/>
  <c r="D288" s="1"/>
  <c r="A287"/>
  <c r="B287" s="1"/>
  <c r="A285"/>
  <c r="A281"/>
  <c r="B281" s="1"/>
  <c r="A280"/>
  <c r="B280" s="1"/>
  <c r="A279"/>
  <c r="B279" s="1"/>
  <c r="A278"/>
  <c r="B278" s="1"/>
  <c r="A276"/>
  <c r="A272"/>
  <c r="B272" s="1"/>
  <c r="A271"/>
  <c r="B271" s="1"/>
  <c r="A270"/>
  <c r="B270" s="1"/>
  <c r="A269"/>
  <c r="B269" s="1"/>
  <c r="A267"/>
  <c r="A263"/>
  <c r="B263" s="1"/>
  <c r="A262"/>
  <c r="B262" s="1"/>
  <c r="A261"/>
  <c r="B261" s="1"/>
  <c r="A260"/>
  <c r="B260" s="1"/>
  <c r="A258"/>
  <c r="A254"/>
  <c r="B254" s="1"/>
  <c r="A253"/>
  <c r="B253" s="1"/>
  <c r="A252"/>
  <c r="B252" s="1"/>
  <c r="D252" s="1"/>
  <c r="A251"/>
  <c r="B251" s="1"/>
  <c r="A249"/>
  <c r="A245"/>
  <c r="B245" s="1"/>
  <c r="A244"/>
  <c r="B244" s="1"/>
  <c r="A243"/>
  <c r="B243" s="1"/>
  <c r="A242"/>
  <c r="B242" s="1"/>
  <c r="A240"/>
  <c r="A236"/>
  <c r="B236" s="1"/>
  <c r="A235"/>
  <c r="B235" s="1"/>
  <c r="A234"/>
  <c r="B234" s="1"/>
  <c r="A233"/>
  <c r="B233" s="1"/>
  <c r="A231"/>
  <c r="A227"/>
  <c r="B227" s="1"/>
  <c r="A226"/>
  <c r="B226" s="1"/>
  <c r="A225"/>
  <c r="B225" s="1"/>
  <c r="A224"/>
  <c r="B224" s="1"/>
  <c r="A222"/>
  <c r="A218"/>
  <c r="B218" s="1"/>
  <c r="A217"/>
  <c r="B217" s="1"/>
  <c r="A216"/>
  <c r="B216" s="1"/>
  <c r="D216" s="1"/>
  <c r="A214"/>
  <c r="A210"/>
  <c r="B210" s="1"/>
  <c r="A209"/>
  <c r="B209" s="1"/>
  <c r="A208"/>
  <c r="B208" s="1"/>
  <c r="A206"/>
  <c r="A202"/>
  <c r="B202" s="1"/>
  <c r="A201"/>
  <c r="B201" s="1"/>
  <c r="A200"/>
  <c r="B200" s="1"/>
  <c r="D200" s="1"/>
  <c r="A199"/>
  <c r="B199" s="1"/>
  <c r="A197"/>
  <c r="A193"/>
  <c r="B193" s="1"/>
  <c r="A192"/>
  <c r="B192" s="1"/>
  <c r="D192" s="1"/>
  <c r="A191"/>
  <c r="B191" s="1"/>
  <c r="A190"/>
  <c r="B190" s="1"/>
  <c r="A188"/>
  <c r="A184"/>
  <c r="B184" s="1"/>
  <c r="A183"/>
  <c r="B183" s="1"/>
  <c r="A182"/>
  <c r="B182" s="1"/>
  <c r="A180"/>
  <c r="A176"/>
  <c r="B176" s="1"/>
  <c r="A175"/>
  <c r="B175" s="1"/>
  <c r="A174"/>
  <c r="B174" s="1"/>
  <c r="A172"/>
  <c r="A168"/>
  <c r="B168" s="1"/>
  <c r="A167"/>
  <c r="B167" s="1"/>
  <c r="A166"/>
  <c r="B166" s="1"/>
  <c r="A165"/>
  <c r="B165" s="1"/>
  <c r="A163"/>
  <c r="A159"/>
  <c r="B159" s="1"/>
  <c r="A158"/>
  <c r="B158" s="1"/>
  <c r="A157"/>
  <c r="B157" s="1"/>
  <c r="A156"/>
  <c r="B156" s="1"/>
  <c r="D156" s="1"/>
  <c r="A154"/>
  <c r="A150"/>
  <c r="B150" s="1"/>
  <c r="A149"/>
  <c r="B149" s="1"/>
  <c r="A148"/>
  <c r="B148" s="1"/>
  <c r="D148" s="1"/>
  <c r="A147"/>
  <c r="B147" s="1"/>
  <c r="A146"/>
  <c r="B146" s="1"/>
  <c r="A144"/>
  <c r="A140"/>
  <c r="B140" s="1"/>
  <c r="A138"/>
  <c r="B138" s="1"/>
  <c r="A137"/>
  <c r="B137" s="1"/>
  <c r="A135"/>
  <c r="A131"/>
  <c r="B131" s="1"/>
  <c r="A129"/>
  <c r="B129" s="1"/>
  <c r="A128"/>
  <c r="B128" s="1"/>
  <c r="A127"/>
  <c r="B127" s="1"/>
  <c r="A126"/>
  <c r="B126" s="1"/>
  <c r="D126" s="1"/>
  <c r="A124"/>
  <c r="A120"/>
  <c r="B120" s="1"/>
  <c r="A119"/>
  <c r="B119" s="1"/>
  <c r="A118"/>
  <c r="B118" s="1"/>
  <c r="A117"/>
  <c r="B117" s="1"/>
  <c r="A116"/>
  <c r="B116" s="1"/>
  <c r="A115"/>
  <c r="B115" s="1"/>
  <c r="A113"/>
  <c r="A109"/>
  <c r="B109" s="1"/>
  <c r="A107"/>
  <c r="B107" s="1"/>
  <c r="A106"/>
  <c r="B106" s="1"/>
  <c r="A105"/>
  <c r="B105" s="1"/>
  <c r="D105" s="1"/>
  <c r="A103"/>
  <c r="A99"/>
  <c r="B99" s="1"/>
  <c r="A97"/>
  <c r="B97" s="1"/>
  <c r="A96"/>
  <c r="B96" s="1"/>
  <c r="A95"/>
  <c r="B95" s="1"/>
  <c r="A94"/>
  <c r="B94" s="1"/>
  <c r="A93"/>
  <c r="B93" s="1"/>
  <c r="A92"/>
  <c r="B92" s="1"/>
  <c r="A90"/>
  <c r="A86"/>
  <c r="B86" s="1"/>
  <c r="B74"/>
  <c r="B73"/>
  <c r="D73" s="1"/>
  <c r="B72"/>
  <c r="B71"/>
  <c r="B70"/>
  <c r="B69"/>
  <c r="D69" s="1"/>
  <c r="A67"/>
  <c r="A63"/>
  <c r="B63" s="1"/>
  <c r="A62"/>
  <c r="B62" s="1"/>
  <c r="A61"/>
  <c r="B61" s="1"/>
  <c r="A60"/>
  <c r="B60" s="1"/>
  <c r="A59"/>
  <c r="B59" s="1"/>
  <c r="A58"/>
  <c r="B58" s="1"/>
  <c r="A56"/>
  <c r="A52"/>
  <c r="B52" s="1"/>
  <c r="A51"/>
  <c r="B51" s="1"/>
  <c r="A50"/>
  <c r="B50" s="1"/>
  <c r="A49"/>
  <c r="B49" s="1"/>
  <c r="D49" s="1"/>
  <c r="A47"/>
  <c r="A43"/>
  <c r="B43" s="1"/>
  <c r="C43" s="1"/>
  <c r="A41"/>
  <c r="B41" s="1"/>
  <c r="D41" s="1"/>
  <c r="A40"/>
  <c r="B40" s="1"/>
  <c r="D40" s="1"/>
  <c r="A39"/>
  <c r="B39" s="1"/>
  <c r="D39" s="1"/>
  <c r="A38"/>
  <c r="B38" s="1"/>
  <c r="D38" s="1"/>
  <c r="A37"/>
  <c r="B37" s="1"/>
  <c r="D37" s="1"/>
  <c r="A36"/>
  <c r="B36" s="1"/>
  <c r="D36" s="1"/>
  <c r="A35"/>
  <c r="B35" s="1"/>
  <c r="D35" s="1"/>
  <c r="A34"/>
  <c r="B34" s="1"/>
  <c r="D34" s="1"/>
  <c r="A32"/>
  <c r="A27"/>
  <c r="B27" s="1"/>
  <c r="A26"/>
  <c r="B26" s="1"/>
  <c r="A25"/>
  <c r="B25" s="1"/>
  <c r="A24"/>
  <c r="B24" s="1"/>
  <c r="A23"/>
  <c r="B23" s="1"/>
  <c r="A22"/>
  <c r="B22" s="1"/>
  <c r="A21"/>
  <c r="B21" s="1"/>
  <c r="A19"/>
  <c r="A15"/>
  <c r="B15" s="1"/>
  <c r="A14"/>
  <c r="B14" s="1"/>
  <c r="A13"/>
  <c r="B13" s="1"/>
  <c r="A12"/>
  <c r="B12" s="1"/>
  <c r="A10"/>
  <c r="B6"/>
  <c r="A6"/>
  <c r="B5"/>
  <c r="A5"/>
  <c r="B4"/>
  <c r="A4"/>
  <c r="B3"/>
  <c r="A3"/>
  <c r="B2"/>
  <c r="A2"/>
  <c r="A1"/>
  <c r="B8" i="10"/>
  <c r="B8" i="5"/>
  <c r="A343" i="10"/>
  <c r="B343" s="1"/>
  <c r="A342"/>
  <c r="B342" s="1"/>
  <c r="A341"/>
  <c r="B341" s="1"/>
  <c r="A339"/>
  <c r="A335"/>
  <c r="B335" s="1"/>
  <c r="A334"/>
  <c r="B334" s="1"/>
  <c r="A333"/>
  <c r="B333" s="1"/>
  <c r="A331"/>
  <c r="A327"/>
  <c r="B327" s="1"/>
  <c r="A326"/>
  <c r="B326" s="1"/>
  <c r="A325"/>
  <c r="B325" s="1"/>
  <c r="A324"/>
  <c r="B324" s="1"/>
  <c r="A323"/>
  <c r="B323" s="1"/>
  <c r="A322"/>
  <c r="B322" s="1"/>
  <c r="A320"/>
  <c r="A316"/>
  <c r="B316" s="1"/>
  <c r="A315"/>
  <c r="B315" s="1"/>
  <c r="A314"/>
  <c r="B314" s="1"/>
  <c r="A312"/>
  <c r="A308"/>
  <c r="B308" s="1"/>
  <c r="A307"/>
  <c r="B307" s="1"/>
  <c r="A306"/>
  <c r="B306" s="1"/>
  <c r="A305"/>
  <c r="B305" s="1"/>
  <c r="A303"/>
  <c r="A299"/>
  <c r="B299" s="1"/>
  <c r="A298"/>
  <c r="B298" s="1"/>
  <c r="A297"/>
  <c r="B297" s="1"/>
  <c r="A296"/>
  <c r="B296" s="1"/>
  <c r="A294"/>
  <c r="A290"/>
  <c r="B290" s="1"/>
  <c r="A289"/>
  <c r="B289" s="1"/>
  <c r="A288"/>
  <c r="B288" s="1"/>
  <c r="A287"/>
  <c r="B287" s="1"/>
  <c r="A285"/>
  <c r="A281"/>
  <c r="B281" s="1"/>
  <c r="A280"/>
  <c r="B280" s="1"/>
  <c r="A279"/>
  <c r="B279" s="1"/>
  <c r="A278"/>
  <c r="B278" s="1"/>
  <c r="A276"/>
  <c r="A272"/>
  <c r="B272" s="1"/>
  <c r="A271"/>
  <c r="B271" s="1"/>
  <c r="A270"/>
  <c r="B270" s="1"/>
  <c r="A269"/>
  <c r="B269" s="1"/>
  <c r="A267"/>
  <c r="A263"/>
  <c r="B263" s="1"/>
  <c r="A262"/>
  <c r="B262" s="1"/>
  <c r="A261"/>
  <c r="B261" s="1"/>
  <c r="A260"/>
  <c r="B260" s="1"/>
  <c r="A258"/>
  <c r="A254"/>
  <c r="B254" s="1"/>
  <c r="A253"/>
  <c r="B253" s="1"/>
  <c r="A252"/>
  <c r="B252" s="1"/>
  <c r="A251"/>
  <c r="B251" s="1"/>
  <c r="A249"/>
  <c r="A245"/>
  <c r="B245" s="1"/>
  <c r="A244"/>
  <c r="B244" s="1"/>
  <c r="A243"/>
  <c r="B243" s="1"/>
  <c r="A242"/>
  <c r="B242" s="1"/>
  <c r="A240"/>
  <c r="A236"/>
  <c r="B236" s="1"/>
  <c r="A235"/>
  <c r="B235" s="1"/>
  <c r="A234"/>
  <c r="B234" s="1"/>
  <c r="A233"/>
  <c r="B233" s="1"/>
  <c r="A231"/>
  <c r="A227"/>
  <c r="B227" s="1"/>
  <c r="A226"/>
  <c r="B226" s="1"/>
  <c r="A225"/>
  <c r="B225" s="1"/>
  <c r="A224"/>
  <c r="B224" s="1"/>
  <c r="A222"/>
  <c r="A218"/>
  <c r="B218" s="1"/>
  <c r="A217"/>
  <c r="B217" s="1"/>
  <c r="A216"/>
  <c r="B216" s="1"/>
  <c r="A214"/>
  <c r="A210"/>
  <c r="B210" s="1"/>
  <c r="A209"/>
  <c r="B209" s="1"/>
  <c r="A208"/>
  <c r="B208" s="1"/>
  <c r="A206"/>
  <c r="A202"/>
  <c r="B202" s="1"/>
  <c r="A201"/>
  <c r="B201" s="1"/>
  <c r="A200"/>
  <c r="B200" s="1"/>
  <c r="A199"/>
  <c r="B199" s="1"/>
  <c r="A197"/>
  <c r="A193"/>
  <c r="B193" s="1"/>
  <c r="A192"/>
  <c r="B192" s="1"/>
  <c r="A191"/>
  <c r="B191" s="1"/>
  <c r="A190"/>
  <c r="B190" s="1"/>
  <c r="A188"/>
  <c r="A184"/>
  <c r="B184" s="1"/>
  <c r="A183"/>
  <c r="B183" s="1"/>
  <c r="A182"/>
  <c r="B182" s="1"/>
  <c r="A180"/>
  <c r="A176"/>
  <c r="B176" s="1"/>
  <c r="A175"/>
  <c r="B175" s="1"/>
  <c r="A174"/>
  <c r="B174" s="1"/>
  <c r="A172"/>
  <c r="A168"/>
  <c r="B168" s="1"/>
  <c r="A167"/>
  <c r="B167" s="1"/>
  <c r="A166"/>
  <c r="B166" s="1"/>
  <c r="A165"/>
  <c r="B165" s="1"/>
  <c r="D165" s="1"/>
  <c r="A163"/>
  <c r="A159"/>
  <c r="B159" s="1"/>
  <c r="A158"/>
  <c r="B158" s="1"/>
  <c r="A157"/>
  <c r="B157" s="1"/>
  <c r="A156"/>
  <c r="B156" s="1"/>
  <c r="A154"/>
  <c r="A150"/>
  <c r="B150" s="1"/>
  <c r="A149"/>
  <c r="B149" s="1"/>
  <c r="A148"/>
  <c r="B148" s="1"/>
  <c r="A147"/>
  <c r="B147" s="1"/>
  <c r="A146"/>
  <c r="B146" s="1"/>
  <c r="A144"/>
  <c r="A140"/>
  <c r="B140" s="1"/>
  <c r="A138"/>
  <c r="B138" s="1"/>
  <c r="A137"/>
  <c r="B137" s="1"/>
  <c r="A135"/>
  <c r="A131"/>
  <c r="B131" s="1"/>
  <c r="A129"/>
  <c r="B129" s="1"/>
  <c r="A128"/>
  <c r="B128" s="1"/>
  <c r="A127"/>
  <c r="B127" s="1"/>
  <c r="D127" s="1"/>
  <c r="A126"/>
  <c r="B126" s="1"/>
  <c r="A124"/>
  <c r="A120"/>
  <c r="B120" s="1"/>
  <c r="A119"/>
  <c r="B119" s="1"/>
  <c r="A118"/>
  <c r="B118" s="1"/>
  <c r="A117"/>
  <c r="B117" s="1"/>
  <c r="A116"/>
  <c r="B116" s="1"/>
  <c r="A115"/>
  <c r="B115" s="1"/>
  <c r="A113"/>
  <c r="A109"/>
  <c r="B109" s="1"/>
  <c r="A107"/>
  <c r="B107" s="1"/>
  <c r="A106"/>
  <c r="B106" s="1"/>
  <c r="A105"/>
  <c r="B105" s="1"/>
  <c r="A103"/>
  <c r="A99"/>
  <c r="B99" s="1"/>
  <c r="A97"/>
  <c r="B97" s="1"/>
  <c r="A96"/>
  <c r="B96" s="1"/>
  <c r="A95"/>
  <c r="B95" s="1"/>
  <c r="A94"/>
  <c r="B94" s="1"/>
  <c r="A93"/>
  <c r="B93" s="1"/>
  <c r="A92"/>
  <c r="B92" s="1"/>
  <c r="A90"/>
  <c r="A86"/>
  <c r="B86" s="1"/>
  <c r="B74"/>
  <c r="B73"/>
  <c r="B72"/>
  <c r="B71"/>
  <c r="B70"/>
  <c r="B69"/>
  <c r="A67"/>
  <c r="A63"/>
  <c r="B63" s="1"/>
  <c r="A62"/>
  <c r="B62" s="1"/>
  <c r="A61"/>
  <c r="B61" s="1"/>
  <c r="A60"/>
  <c r="B60" s="1"/>
  <c r="A59"/>
  <c r="B59" s="1"/>
  <c r="A58"/>
  <c r="B58" s="1"/>
  <c r="A56"/>
  <c r="A52"/>
  <c r="B52" s="1"/>
  <c r="A51"/>
  <c r="B51" s="1"/>
  <c r="A50"/>
  <c r="B50" s="1"/>
  <c r="A49"/>
  <c r="B49" s="1"/>
  <c r="A47"/>
  <c r="A43"/>
  <c r="B43" s="1"/>
  <c r="A41"/>
  <c r="B41" s="1"/>
  <c r="A40"/>
  <c r="B40" s="1"/>
  <c r="A39"/>
  <c r="B39" s="1"/>
  <c r="A38"/>
  <c r="B38" s="1"/>
  <c r="A37"/>
  <c r="B37" s="1"/>
  <c r="A36"/>
  <c r="B36" s="1"/>
  <c r="A35"/>
  <c r="B35" s="1"/>
  <c r="A34"/>
  <c r="B34" s="1"/>
  <c r="A32"/>
  <c r="A27"/>
  <c r="B27" s="1"/>
  <c r="C27" s="1"/>
  <c r="A26"/>
  <c r="B26" s="1"/>
  <c r="D26" s="1"/>
  <c r="A25"/>
  <c r="B25" s="1"/>
  <c r="D25" s="1"/>
  <c r="A24"/>
  <c r="B24" s="1"/>
  <c r="C24" s="1"/>
  <c r="A23"/>
  <c r="B23" s="1"/>
  <c r="C23" s="1"/>
  <c r="A22"/>
  <c r="B22" s="1"/>
  <c r="D22" s="1"/>
  <c r="A21"/>
  <c r="B21" s="1"/>
  <c r="C21" s="1"/>
  <c r="A19"/>
  <c r="A15"/>
  <c r="B15" s="1"/>
  <c r="A14"/>
  <c r="B14" s="1"/>
  <c r="A13"/>
  <c r="B13" s="1"/>
  <c r="A12"/>
  <c r="B12" s="1"/>
  <c r="A10"/>
  <c r="B6"/>
  <c r="A6"/>
  <c r="B5"/>
  <c r="A5"/>
  <c r="B4"/>
  <c r="A4"/>
  <c r="B3"/>
  <c r="A3"/>
  <c r="B2"/>
  <c r="A2"/>
  <c r="A1"/>
  <c r="B6" i="9"/>
  <c r="A6"/>
  <c r="B5"/>
  <c r="A5"/>
  <c r="B4"/>
  <c r="A4"/>
  <c r="B3"/>
  <c r="A3"/>
  <c r="B2"/>
  <c r="A2"/>
  <c r="A1"/>
  <c r="A22" i="3"/>
  <c r="B22" s="1"/>
  <c r="D22" s="1"/>
  <c r="A23"/>
  <c r="B23" s="1"/>
  <c r="D23" s="1"/>
  <c r="A24"/>
  <c r="B24" s="1"/>
  <c r="D24" s="1"/>
  <c r="A25"/>
  <c r="B25" s="1"/>
  <c r="D25" s="1"/>
  <c r="A13"/>
  <c r="B13" s="1"/>
  <c r="D13" s="1"/>
  <c r="A95"/>
  <c r="B95" s="1"/>
  <c r="D95" s="1"/>
  <c r="B72"/>
  <c r="D72" s="1"/>
  <c r="A34"/>
  <c r="B34" s="1"/>
  <c r="D34" s="1"/>
  <c r="A35"/>
  <c r="B35" s="1"/>
  <c r="D35" s="1"/>
  <c r="A36"/>
  <c r="B36" s="1"/>
  <c r="D36" s="1"/>
  <c r="A37"/>
  <c r="B37" s="1"/>
  <c r="D37" s="1"/>
  <c r="A38"/>
  <c r="B38" s="1"/>
  <c r="D38" s="1"/>
  <c r="A39"/>
  <c r="B39" s="1"/>
  <c r="D39" s="1"/>
  <c r="C108" i="5" l="1"/>
  <c r="D108"/>
  <c r="C108" i="10"/>
  <c r="D108"/>
  <c r="C108" i="11"/>
  <c r="D108"/>
  <c r="D108" i="12"/>
  <c r="C108"/>
  <c r="C80" i="11"/>
  <c r="C84"/>
  <c r="C79"/>
  <c r="C85"/>
  <c r="C78"/>
  <c r="D81"/>
  <c r="D80"/>
  <c r="D84"/>
  <c r="D79"/>
  <c r="C81"/>
  <c r="D77"/>
  <c r="C76"/>
  <c r="C83"/>
  <c r="D82"/>
  <c r="C77"/>
  <c r="D76"/>
  <c r="D83"/>
  <c r="D78"/>
  <c r="C82"/>
  <c r="D85"/>
  <c r="C78" i="10"/>
  <c r="D84"/>
  <c r="D80"/>
  <c r="C79"/>
  <c r="D82"/>
  <c r="D78"/>
  <c r="C76"/>
  <c r="C81"/>
  <c r="D79"/>
  <c r="D85"/>
  <c r="C77"/>
  <c r="D76"/>
  <c r="C83"/>
  <c r="C84"/>
  <c r="D81"/>
  <c r="C80"/>
  <c r="C85"/>
  <c r="D83"/>
  <c r="C82"/>
  <c r="D77"/>
  <c r="C80" i="5"/>
  <c r="D82"/>
  <c r="D83"/>
  <c r="C79"/>
  <c r="D78"/>
  <c r="C77"/>
  <c r="D80"/>
  <c r="D79"/>
  <c r="D77"/>
  <c r="C78"/>
  <c r="C84"/>
  <c r="C83"/>
  <c r="D85"/>
  <c r="C85"/>
  <c r="C76"/>
  <c r="D81"/>
  <c r="C82"/>
  <c r="C81"/>
  <c r="D76"/>
  <c r="D84"/>
  <c r="D75" i="11"/>
  <c r="D98" i="12"/>
  <c r="C98"/>
  <c r="D75"/>
  <c r="C75"/>
  <c r="D98" i="11"/>
  <c r="C98"/>
  <c r="C75"/>
  <c r="D137"/>
  <c r="D129"/>
  <c r="D138"/>
  <c r="C98" i="10"/>
  <c r="D98"/>
  <c r="D75"/>
  <c r="C75"/>
  <c r="D98" i="5"/>
  <c r="C98"/>
  <c r="D75"/>
  <c r="C75"/>
  <c r="C96" i="3"/>
  <c r="D127" i="12"/>
  <c r="D73" i="3"/>
  <c r="C73"/>
  <c r="D128" i="12"/>
  <c r="D137"/>
  <c r="D129"/>
  <c r="D138"/>
  <c r="D324" i="11"/>
  <c r="D128"/>
  <c r="D127"/>
  <c r="D126" i="10"/>
  <c r="D138"/>
  <c r="D128"/>
  <c r="D137"/>
  <c r="D129"/>
  <c r="C139" i="12"/>
  <c r="C130"/>
  <c r="C139" i="11"/>
  <c r="C130"/>
  <c r="C139" i="10"/>
  <c r="D156"/>
  <c r="D192"/>
  <c r="D167"/>
  <c r="D191"/>
  <c r="D34"/>
  <c r="D38"/>
  <c r="D59"/>
  <c r="D71"/>
  <c r="D94"/>
  <c r="D116"/>
  <c r="D158"/>
  <c r="D166"/>
  <c r="D174"/>
  <c r="D190"/>
  <c r="D234"/>
  <c r="D242"/>
  <c r="C130"/>
  <c r="C139" i="5"/>
  <c r="C130"/>
  <c r="D137" i="3"/>
  <c r="C137"/>
  <c r="C128"/>
  <c r="D42" i="12"/>
  <c r="C42"/>
  <c r="D42" i="11"/>
  <c r="C42"/>
  <c r="D42" i="10"/>
  <c r="C42"/>
  <c r="D42" i="5"/>
  <c r="C42"/>
  <c r="D40" i="3"/>
  <c r="C40"/>
  <c r="D26" i="12"/>
  <c r="D191"/>
  <c r="D21"/>
  <c r="D25"/>
  <c r="D158"/>
  <c r="D166"/>
  <c r="D190"/>
  <c r="D22"/>
  <c r="D167"/>
  <c r="D157" i="11"/>
  <c r="D165"/>
  <c r="D157" i="12"/>
  <c r="D165"/>
  <c r="D167" i="11"/>
  <c r="D191"/>
  <c r="D158"/>
  <c r="D166"/>
  <c r="D190"/>
  <c r="D270" i="10"/>
  <c r="D278"/>
  <c r="D306"/>
  <c r="D314"/>
  <c r="D334"/>
  <c r="D342"/>
  <c r="D23" i="12"/>
  <c r="D24"/>
  <c r="D157" i="10"/>
  <c r="D12" i="12"/>
  <c r="D13"/>
  <c r="D14"/>
  <c r="D93" i="11"/>
  <c r="D119"/>
  <c r="D224"/>
  <c r="D278"/>
  <c r="D72"/>
  <c r="D242"/>
  <c r="D14"/>
  <c r="D22"/>
  <c r="D26"/>
  <c r="D60"/>
  <c r="D95"/>
  <c r="D117"/>
  <c r="D147"/>
  <c r="D175"/>
  <c r="D183"/>
  <c r="D243"/>
  <c r="D251"/>
  <c r="D279"/>
  <c r="D287"/>
  <c r="D315"/>
  <c r="D323"/>
  <c r="D25"/>
  <c r="D96"/>
  <c r="D208"/>
  <c r="D296"/>
  <c r="D334"/>
  <c r="D51"/>
  <c r="D71"/>
  <c r="D107"/>
  <c r="D146"/>
  <c r="D182"/>
  <c r="D234"/>
  <c r="D270"/>
  <c r="D306"/>
  <c r="D322"/>
  <c r="D326"/>
  <c r="D342"/>
  <c r="D23"/>
  <c r="D61"/>
  <c r="D94"/>
  <c r="D118"/>
  <c r="D174"/>
  <c r="D199"/>
  <c r="D260"/>
  <c r="D12"/>
  <c r="D24"/>
  <c r="D50"/>
  <c r="D58"/>
  <c r="D62"/>
  <c r="D70"/>
  <c r="D74"/>
  <c r="D97"/>
  <c r="D106"/>
  <c r="D115"/>
  <c r="D149"/>
  <c r="D209"/>
  <c r="D217"/>
  <c r="D225"/>
  <c r="D233"/>
  <c r="D261"/>
  <c r="D269"/>
  <c r="D297"/>
  <c r="D305"/>
  <c r="D325"/>
  <c r="D314"/>
  <c r="D333"/>
  <c r="D341"/>
  <c r="D21"/>
  <c r="D59"/>
  <c r="D92"/>
  <c r="D116"/>
  <c r="D13"/>
  <c r="D14" i="10"/>
  <c r="D21"/>
  <c r="D62"/>
  <c r="D261"/>
  <c r="D322"/>
  <c r="D70"/>
  <c r="D106"/>
  <c r="D341"/>
  <c r="D39"/>
  <c r="D97"/>
  <c r="D225"/>
  <c r="D12"/>
  <c r="D36"/>
  <c r="D92"/>
  <c r="D200"/>
  <c r="D208"/>
  <c r="D224"/>
  <c r="D252"/>
  <c r="D260"/>
  <c r="D288"/>
  <c r="D296"/>
  <c r="D324"/>
  <c r="D95"/>
  <c r="D333"/>
  <c r="D41"/>
  <c r="D107"/>
  <c r="D50"/>
  <c r="D74"/>
  <c r="D217"/>
  <c r="D325"/>
  <c r="D60"/>
  <c r="D315"/>
  <c r="D40"/>
  <c r="D61"/>
  <c r="D96"/>
  <c r="D147"/>
  <c r="D183"/>
  <c r="D323"/>
  <c r="D35"/>
  <c r="D51"/>
  <c r="D146"/>
  <c r="D73"/>
  <c r="D105"/>
  <c r="D93"/>
  <c r="D24"/>
  <c r="D49"/>
  <c r="D69"/>
  <c r="D149"/>
  <c r="D182"/>
  <c r="D199"/>
  <c r="D216"/>
  <c r="D233"/>
  <c r="D251"/>
  <c r="D269"/>
  <c r="D287"/>
  <c r="D305"/>
  <c r="D326"/>
  <c r="D13"/>
  <c r="D119"/>
  <c r="D37"/>
  <c r="D58"/>
  <c r="D72"/>
  <c r="D148"/>
  <c r="D175"/>
  <c r="D209"/>
  <c r="D243"/>
  <c r="D279"/>
  <c r="D297"/>
  <c r="D118"/>
  <c r="D117"/>
  <c r="D115"/>
  <c r="D23"/>
  <c r="D35" i="12"/>
  <c r="D39"/>
  <c r="D49"/>
  <c r="D118"/>
  <c r="D147"/>
  <c r="D174"/>
  <c r="D183"/>
  <c r="D224"/>
  <c r="D242"/>
  <c r="D260"/>
  <c r="D278"/>
  <c r="D296"/>
  <c r="D314"/>
  <c r="D323"/>
  <c r="C13" i="10"/>
  <c r="D342" i="12"/>
  <c r="C15" i="10"/>
  <c r="D51" i="12"/>
  <c r="D60"/>
  <c r="D92"/>
  <c r="D96"/>
  <c r="D116"/>
  <c r="D208"/>
  <c r="D217"/>
  <c r="D325"/>
  <c r="D334"/>
  <c r="C14" i="10"/>
  <c r="D34" i="12"/>
  <c r="D38"/>
  <c r="D61"/>
  <c r="D93"/>
  <c r="D97"/>
  <c r="D107"/>
  <c r="D117"/>
  <c r="D146"/>
  <c r="D182"/>
  <c r="D200"/>
  <c r="D209"/>
  <c r="D322"/>
  <c r="D326"/>
  <c r="C12" i="10"/>
  <c r="D50" i="12"/>
  <c r="D59"/>
  <c r="D115"/>
  <c r="D119"/>
  <c r="D234"/>
  <c r="D252"/>
  <c r="D270"/>
  <c r="D288"/>
  <c r="D306"/>
  <c r="D324"/>
  <c r="D333"/>
  <c r="D37"/>
  <c r="D41"/>
  <c r="D62"/>
  <c r="D106"/>
  <c r="D149"/>
  <c r="D216"/>
  <c r="D251"/>
  <c r="D287"/>
  <c r="D36"/>
  <c r="D40"/>
  <c r="D94"/>
  <c r="D105"/>
  <c r="D148"/>
  <c r="D175"/>
  <c r="D225"/>
  <c r="D243"/>
  <c r="D261"/>
  <c r="D279"/>
  <c r="D297"/>
  <c r="D315"/>
  <c r="D341"/>
  <c r="D58"/>
  <c r="D95"/>
  <c r="D199"/>
  <c r="D233"/>
  <c r="D269"/>
  <c r="D305"/>
  <c r="B177"/>
  <c r="C52"/>
  <c r="C13"/>
  <c r="D69"/>
  <c r="D71"/>
  <c r="D72"/>
  <c r="C201"/>
  <c r="C96"/>
  <c r="C120"/>
  <c r="C149"/>
  <c r="C262"/>
  <c r="C280"/>
  <c r="C14"/>
  <c r="B328"/>
  <c r="C94"/>
  <c r="C58"/>
  <c r="C62"/>
  <c r="C99"/>
  <c r="C109"/>
  <c r="C327"/>
  <c r="C15"/>
  <c r="C27"/>
  <c r="C61"/>
  <c r="B185"/>
  <c r="C73"/>
  <c r="C227"/>
  <c r="C245"/>
  <c r="C263"/>
  <c r="C281"/>
  <c r="C299"/>
  <c r="C12"/>
  <c r="C74"/>
  <c r="C70"/>
  <c r="C59"/>
  <c r="C92"/>
  <c r="C105"/>
  <c r="C210"/>
  <c r="C244"/>
  <c r="C316"/>
  <c r="B121"/>
  <c r="C50"/>
  <c r="B64"/>
  <c r="C63"/>
  <c r="C175"/>
  <c r="C192"/>
  <c r="C226"/>
  <c r="C298"/>
  <c r="C60"/>
  <c r="B16"/>
  <c r="C131"/>
  <c r="C34"/>
  <c r="C38"/>
  <c r="C43"/>
  <c r="C49"/>
  <c r="C140"/>
  <c r="C146"/>
  <c r="C165"/>
  <c r="C176"/>
  <c r="C182"/>
  <c r="C183"/>
  <c r="C184"/>
  <c r="C202"/>
  <c r="C216"/>
  <c r="C236"/>
  <c r="C242"/>
  <c r="C272"/>
  <c r="C278"/>
  <c r="C290"/>
  <c r="C296"/>
  <c r="C342"/>
  <c r="C35"/>
  <c r="C37"/>
  <c r="C39"/>
  <c r="C41"/>
  <c r="C51"/>
  <c r="C115"/>
  <c r="C116"/>
  <c r="C117"/>
  <c r="C118"/>
  <c r="C119"/>
  <c r="C138"/>
  <c r="C148"/>
  <c r="C166"/>
  <c r="C168"/>
  <c r="C174"/>
  <c r="C200"/>
  <c r="C217"/>
  <c r="B228"/>
  <c r="C235"/>
  <c r="B246"/>
  <c r="C253"/>
  <c r="B264"/>
  <c r="C271"/>
  <c r="B282"/>
  <c r="C289"/>
  <c r="B300"/>
  <c r="C307"/>
  <c r="C322"/>
  <c r="C323"/>
  <c r="C324"/>
  <c r="C325"/>
  <c r="C326"/>
  <c r="C341"/>
  <c r="C343"/>
  <c r="B203"/>
  <c r="C36"/>
  <c r="C40"/>
  <c r="B110"/>
  <c r="C106"/>
  <c r="C137"/>
  <c r="C150"/>
  <c r="C156"/>
  <c r="C157"/>
  <c r="C158"/>
  <c r="C167"/>
  <c r="C218"/>
  <c r="C224"/>
  <c r="C254"/>
  <c r="C260"/>
  <c r="C308"/>
  <c r="C314"/>
  <c r="B53"/>
  <c r="C93"/>
  <c r="C95"/>
  <c r="C97"/>
  <c r="C107"/>
  <c r="B151"/>
  <c r="C147"/>
  <c r="C193"/>
  <c r="C199"/>
  <c r="C225"/>
  <c r="C243"/>
  <c r="C261"/>
  <c r="C279"/>
  <c r="C297"/>
  <c r="B317"/>
  <c r="C315"/>
  <c r="C335"/>
  <c r="C24"/>
  <c r="C334"/>
  <c r="B132"/>
  <c r="C126"/>
  <c r="C159"/>
  <c r="B160"/>
  <c r="C234"/>
  <c r="C252"/>
  <c r="C270"/>
  <c r="C288"/>
  <c r="C306"/>
  <c r="C333"/>
  <c r="B336"/>
  <c r="C22"/>
  <c r="C26"/>
  <c r="B87"/>
  <c r="C129"/>
  <c r="C191"/>
  <c r="C209"/>
  <c r="B237"/>
  <c r="C233"/>
  <c r="B255"/>
  <c r="C251"/>
  <c r="B273"/>
  <c r="C269"/>
  <c r="B291"/>
  <c r="C287"/>
  <c r="B309"/>
  <c r="C305"/>
  <c r="C127"/>
  <c r="C23"/>
  <c r="B28"/>
  <c r="C21"/>
  <c r="C25"/>
  <c r="C128"/>
  <c r="B194"/>
  <c r="C190"/>
  <c r="C208"/>
  <c r="B211"/>
  <c r="B44"/>
  <c r="B100"/>
  <c r="B141"/>
  <c r="B169"/>
  <c r="B219"/>
  <c r="B344"/>
  <c r="C39" i="11"/>
  <c r="C25" i="10"/>
  <c r="C37" i="11"/>
  <c r="C41"/>
  <c r="C35"/>
  <c r="C34"/>
  <c r="C40"/>
  <c r="C36"/>
  <c r="C22" i="10"/>
  <c r="C38" i="11"/>
  <c r="C13"/>
  <c r="C224"/>
  <c r="C14"/>
  <c r="B317"/>
  <c r="C15"/>
  <c r="C12"/>
  <c r="C242"/>
  <c r="C105"/>
  <c r="C244"/>
  <c r="C315"/>
  <c r="C343"/>
  <c r="C109"/>
  <c r="C137"/>
  <c r="C140"/>
  <c r="C146"/>
  <c r="C150"/>
  <c r="C262"/>
  <c r="C296"/>
  <c r="C49"/>
  <c r="C297"/>
  <c r="C176"/>
  <c r="C341"/>
  <c r="C175"/>
  <c r="C201"/>
  <c r="C216"/>
  <c r="C218"/>
  <c r="C226"/>
  <c r="C243"/>
  <c r="C52"/>
  <c r="C95"/>
  <c r="C149"/>
  <c r="C159"/>
  <c r="C280"/>
  <c r="C50"/>
  <c r="C63"/>
  <c r="C86"/>
  <c r="C147"/>
  <c r="C158"/>
  <c r="C165"/>
  <c r="C167"/>
  <c r="C225"/>
  <c r="C278"/>
  <c r="C290"/>
  <c r="C298"/>
  <c r="C316"/>
  <c r="C93"/>
  <c r="C97"/>
  <c r="B177"/>
  <c r="C236"/>
  <c r="C27"/>
  <c r="C107"/>
  <c r="C131"/>
  <c r="C184"/>
  <c r="C192"/>
  <c r="C200"/>
  <c r="C210"/>
  <c r="C253"/>
  <c r="C261"/>
  <c r="C271"/>
  <c r="C308"/>
  <c r="C314"/>
  <c r="B53"/>
  <c r="C92"/>
  <c r="C94"/>
  <c r="C96"/>
  <c r="C99"/>
  <c r="C120"/>
  <c r="B151"/>
  <c r="C235"/>
  <c r="C272"/>
  <c r="C307"/>
  <c r="C342"/>
  <c r="C51"/>
  <c r="B110"/>
  <c r="C106"/>
  <c r="C138"/>
  <c r="C148"/>
  <c r="C166"/>
  <c r="C168"/>
  <c r="C174"/>
  <c r="C193"/>
  <c r="C199"/>
  <c r="C217"/>
  <c r="C254"/>
  <c r="C260"/>
  <c r="C279"/>
  <c r="C289"/>
  <c r="C327"/>
  <c r="C335"/>
  <c r="C23"/>
  <c r="C72"/>
  <c r="C126"/>
  <c r="B132"/>
  <c r="C202"/>
  <c r="B203"/>
  <c r="B309"/>
  <c r="C305"/>
  <c r="C326"/>
  <c r="C26"/>
  <c r="C117"/>
  <c r="C209"/>
  <c r="C245"/>
  <c r="B246"/>
  <c r="C270"/>
  <c r="B291"/>
  <c r="C287"/>
  <c r="C325"/>
  <c r="B336"/>
  <c r="C333"/>
  <c r="C21"/>
  <c r="B28"/>
  <c r="C25"/>
  <c r="C58"/>
  <c r="B64"/>
  <c r="C62"/>
  <c r="C70"/>
  <c r="C74"/>
  <c r="C116"/>
  <c r="C128"/>
  <c r="C157"/>
  <c r="C183"/>
  <c r="C191"/>
  <c r="B211"/>
  <c r="C208"/>
  <c r="C227"/>
  <c r="B228"/>
  <c r="C252"/>
  <c r="B273"/>
  <c r="C269"/>
  <c r="C299"/>
  <c r="B300"/>
  <c r="C324"/>
  <c r="C60"/>
  <c r="C118"/>
  <c r="B237"/>
  <c r="C233"/>
  <c r="C263"/>
  <c r="B264"/>
  <c r="C288"/>
  <c r="B328"/>
  <c r="C322"/>
  <c r="C334"/>
  <c r="C22"/>
  <c r="C59"/>
  <c r="C71"/>
  <c r="C129"/>
  <c r="B16"/>
  <c r="C24"/>
  <c r="C61"/>
  <c r="C69"/>
  <c r="B87"/>
  <c r="C73"/>
  <c r="C115"/>
  <c r="B121"/>
  <c r="C119"/>
  <c r="C127"/>
  <c r="B160"/>
  <c r="C156"/>
  <c r="C182"/>
  <c r="B185"/>
  <c r="B194"/>
  <c r="C190"/>
  <c r="C234"/>
  <c r="B255"/>
  <c r="C251"/>
  <c r="B282"/>
  <c r="C281"/>
  <c r="C306"/>
  <c r="C323"/>
  <c r="B44"/>
  <c r="B100"/>
  <c r="B141"/>
  <c r="B169"/>
  <c r="B219"/>
  <c r="B344"/>
  <c r="C26" i="10"/>
  <c r="C200"/>
  <c r="C93"/>
  <c r="C97"/>
  <c r="C106"/>
  <c r="C95"/>
  <c r="C176"/>
  <c r="C184"/>
  <c r="C192"/>
  <c r="C242"/>
  <c r="C297"/>
  <c r="C314"/>
  <c r="C50"/>
  <c r="C147"/>
  <c r="C210"/>
  <c r="B64"/>
  <c r="C148"/>
  <c r="C262"/>
  <c r="C296"/>
  <c r="C315"/>
  <c r="C201"/>
  <c r="C216"/>
  <c r="C224"/>
  <c r="C272"/>
  <c r="C278"/>
  <c r="B53"/>
  <c r="C138"/>
  <c r="C236"/>
  <c r="C244"/>
  <c r="C290"/>
  <c r="C308"/>
  <c r="C316"/>
  <c r="C51"/>
  <c r="C107"/>
  <c r="C218"/>
  <c r="C226"/>
  <c r="C280"/>
  <c r="C35"/>
  <c r="C37"/>
  <c r="C39"/>
  <c r="C41"/>
  <c r="C52"/>
  <c r="C105"/>
  <c r="C131"/>
  <c r="C150"/>
  <c r="B317"/>
  <c r="C341"/>
  <c r="C343"/>
  <c r="B16"/>
  <c r="C149"/>
  <c r="C159"/>
  <c r="B177"/>
  <c r="C225"/>
  <c r="C243"/>
  <c r="C253"/>
  <c r="C261"/>
  <c r="C271"/>
  <c r="C307"/>
  <c r="C342"/>
  <c r="C92"/>
  <c r="C94"/>
  <c r="C96"/>
  <c r="C99"/>
  <c r="C109"/>
  <c r="B151"/>
  <c r="C158"/>
  <c r="C165"/>
  <c r="C167"/>
  <c r="C175"/>
  <c r="C235"/>
  <c r="C298"/>
  <c r="B121"/>
  <c r="B110"/>
  <c r="C156"/>
  <c r="C34"/>
  <c r="C36"/>
  <c r="C38"/>
  <c r="C40"/>
  <c r="C43"/>
  <c r="C49"/>
  <c r="C86"/>
  <c r="C137"/>
  <c r="C140"/>
  <c r="C146"/>
  <c r="C166"/>
  <c r="C168"/>
  <c r="C174"/>
  <c r="C193"/>
  <c r="C199"/>
  <c r="C217"/>
  <c r="C254"/>
  <c r="C260"/>
  <c r="C279"/>
  <c r="C289"/>
  <c r="C327"/>
  <c r="C335"/>
  <c r="B87"/>
  <c r="C69"/>
  <c r="C127"/>
  <c r="C209"/>
  <c r="C245"/>
  <c r="B246"/>
  <c r="C270"/>
  <c r="C333"/>
  <c r="B336"/>
  <c r="B160"/>
  <c r="C157"/>
  <c r="C191"/>
  <c r="B211"/>
  <c r="C208"/>
  <c r="C227"/>
  <c r="B228"/>
  <c r="C252"/>
  <c r="B273"/>
  <c r="C269"/>
  <c r="C299"/>
  <c r="B300"/>
  <c r="C324"/>
  <c r="C129"/>
  <c r="C182"/>
  <c r="B185"/>
  <c r="B28"/>
  <c r="C70"/>
  <c r="C74"/>
  <c r="C128"/>
  <c r="C202"/>
  <c r="B203"/>
  <c r="B237"/>
  <c r="C233"/>
  <c r="C263"/>
  <c r="B264"/>
  <c r="C288"/>
  <c r="B309"/>
  <c r="C305"/>
  <c r="C322"/>
  <c r="B328"/>
  <c r="C326"/>
  <c r="C334"/>
  <c r="C73"/>
  <c r="B291"/>
  <c r="C287"/>
  <c r="C325"/>
  <c r="C72"/>
  <c r="B132"/>
  <c r="C126"/>
  <c r="C183"/>
  <c r="C71"/>
  <c r="B194"/>
  <c r="C190"/>
  <c r="C234"/>
  <c r="B255"/>
  <c r="C251"/>
  <c r="B282"/>
  <c r="C281"/>
  <c r="C306"/>
  <c r="C323"/>
  <c r="C58"/>
  <c r="C61"/>
  <c r="C116"/>
  <c r="C118"/>
  <c r="C120"/>
  <c r="B44"/>
  <c r="B100"/>
  <c r="B141"/>
  <c r="B169"/>
  <c r="B219"/>
  <c r="B344"/>
  <c r="C59"/>
  <c r="C60"/>
  <c r="C62"/>
  <c r="C63"/>
  <c r="C115"/>
  <c r="C117"/>
  <c r="C119"/>
  <c r="C25" i="3"/>
  <c r="C24"/>
  <c r="C23"/>
  <c r="C22"/>
  <c r="C13"/>
  <c r="C95"/>
  <c r="C72"/>
  <c r="C39"/>
  <c r="C38"/>
  <c r="C37"/>
  <c r="C36"/>
  <c r="C35"/>
  <c r="C34"/>
  <c r="A343" i="5"/>
  <c r="B343" s="1"/>
  <c r="A342"/>
  <c r="B342" s="1"/>
  <c r="A341"/>
  <c r="B341" s="1"/>
  <c r="A339"/>
  <c r="A335"/>
  <c r="B335" s="1"/>
  <c r="A334"/>
  <c r="B334" s="1"/>
  <c r="D334" s="1"/>
  <c r="A333"/>
  <c r="B333" s="1"/>
  <c r="A331"/>
  <c r="A327"/>
  <c r="B327" s="1"/>
  <c r="A326"/>
  <c r="B326" s="1"/>
  <c r="D326" s="1"/>
  <c r="A325"/>
  <c r="B325" s="1"/>
  <c r="A324"/>
  <c r="B324" s="1"/>
  <c r="A323"/>
  <c r="B323" s="1"/>
  <c r="A322"/>
  <c r="B322" s="1"/>
  <c r="D322" s="1"/>
  <c r="A320"/>
  <c r="A316"/>
  <c r="B316" s="1"/>
  <c r="A315"/>
  <c r="B315" s="1"/>
  <c r="A314"/>
  <c r="B314" s="1"/>
  <c r="A312"/>
  <c r="A308"/>
  <c r="B308" s="1"/>
  <c r="A307"/>
  <c r="B307" s="1"/>
  <c r="A306"/>
  <c r="B306" s="1"/>
  <c r="D306" s="1"/>
  <c r="A305"/>
  <c r="B305" s="1"/>
  <c r="D305" s="1"/>
  <c r="A303"/>
  <c r="A299"/>
  <c r="B299" s="1"/>
  <c r="A298"/>
  <c r="B298" s="1"/>
  <c r="A297"/>
  <c r="B297" s="1"/>
  <c r="D297" s="1"/>
  <c r="A296"/>
  <c r="B296" s="1"/>
  <c r="D296" s="1"/>
  <c r="A294"/>
  <c r="A290"/>
  <c r="B290" s="1"/>
  <c r="A289"/>
  <c r="B289" s="1"/>
  <c r="A288"/>
  <c r="B288" s="1"/>
  <c r="D288" s="1"/>
  <c r="A287"/>
  <c r="B287" s="1"/>
  <c r="D287" s="1"/>
  <c r="A285"/>
  <c r="A281"/>
  <c r="B281" s="1"/>
  <c r="A280"/>
  <c r="B280" s="1"/>
  <c r="A279"/>
  <c r="B279" s="1"/>
  <c r="D279" s="1"/>
  <c r="A278"/>
  <c r="B278" s="1"/>
  <c r="D278" s="1"/>
  <c r="A276"/>
  <c r="A272"/>
  <c r="B272" s="1"/>
  <c r="A271"/>
  <c r="B271" s="1"/>
  <c r="A270"/>
  <c r="B270" s="1"/>
  <c r="D270" s="1"/>
  <c r="A269"/>
  <c r="B269" s="1"/>
  <c r="D269" s="1"/>
  <c r="A267"/>
  <c r="A263"/>
  <c r="B263" s="1"/>
  <c r="A262"/>
  <c r="B262" s="1"/>
  <c r="A261"/>
  <c r="B261" s="1"/>
  <c r="D261" s="1"/>
  <c r="A260"/>
  <c r="B260" s="1"/>
  <c r="D260" s="1"/>
  <c r="A258"/>
  <c r="A254"/>
  <c r="B254" s="1"/>
  <c r="A253"/>
  <c r="B253" s="1"/>
  <c r="A252"/>
  <c r="B252" s="1"/>
  <c r="D252" s="1"/>
  <c r="A251"/>
  <c r="B251" s="1"/>
  <c r="D251" s="1"/>
  <c r="A249"/>
  <c r="A245"/>
  <c r="B245" s="1"/>
  <c r="A244"/>
  <c r="B244" s="1"/>
  <c r="A243"/>
  <c r="B243" s="1"/>
  <c r="D243" s="1"/>
  <c r="A242"/>
  <c r="B242" s="1"/>
  <c r="D242" s="1"/>
  <c r="A240"/>
  <c r="A236"/>
  <c r="B236" s="1"/>
  <c r="A235"/>
  <c r="B235" s="1"/>
  <c r="A234"/>
  <c r="B234" s="1"/>
  <c r="D234" s="1"/>
  <c r="A233"/>
  <c r="B233" s="1"/>
  <c r="D233" s="1"/>
  <c r="A231"/>
  <c r="A227"/>
  <c r="B227" s="1"/>
  <c r="A226"/>
  <c r="B226" s="1"/>
  <c r="A225"/>
  <c r="B225" s="1"/>
  <c r="D225" s="1"/>
  <c r="A224"/>
  <c r="B224" s="1"/>
  <c r="D224" s="1"/>
  <c r="A222"/>
  <c r="A218"/>
  <c r="B218" s="1"/>
  <c r="A217"/>
  <c r="B217" s="1"/>
  <c r="A216"/>
  <c r="B216" s="1"/>
  <c r="D216" s="1"/>
  <c r="A214"/>
  <c r="A210"/>
  <c r="B210" s="1"/>
  <c r="A209"/>
  <c r="B209" s="1"/>
  <c r="A208"/>
  <c r="B208" s="1"/>
  <c r="A206"/>
  <c r="A202"/>
  <c r="B202" s="1"/>
  <c r="A201"/>
  <c r="B201" s="1"/>
  <c r="A200"/>
  <c r="B200" s="1"/>
  <c r="D200" s="1"/>
  <c r="A199"/>
  <c r="B199" s="1"/>
  <c r="D199" s="1"/>
  <c r="A197"/>
  <c r="A193"/>
  <c r="B193" s="1"/>
  <c r="A192"/>
  <c r="B192" s="1"/>
  <c r="D192" s="1"/>
  <c r="A191"/>
  <c r="B191" s="1"/>
  <c r="D191" s="1"/>
  <c r="A190"/>
  <c r="B190" s="1"/>
  <c r="D190" s="1"/>
  <c r="A188"/>
  <c r="A184"/>
  <c r="B184" s="1"/>
  <c r="A183"/>
  <c r="B183" s="1"/>
  <c r="A182"/>
  <c r="B182" s="1"/>
  <c r="D182" s="1"/>
  <c r="A180"/>
  <c r="A176"/>
  <c r="B176" s="1"/>
  <c r="A175"/>
  <c r="B175" s="1"/>
  <c r="A174"/>
  <c r="B174" s="1"/>
  <c r="A172"/>
  <c r="A168"/>
  <c r="B168" s="1"/>
  <c r="A167"/>
  <c r="B167" s="1"/>
  <c r="D167" s="1"/>
  <c r="A166"/>
  <c r="B166" s="1"/>
  <c r="D166" s="1"/>
  <c r="A165"/>
  <c r="B165" s="1"/>
  <c r="D165" s="1"/>
  <c r="A163"/>
  <c r="A159"/>
  <c r="B159" s="1"/>
  <c r="A158"/>
  <c r="B158" s="1"/>
  <c r="D158" s="1"/>
  <c r="A157"/>
  <c r="B157" s="1"/>
  <c r="D157" s="1"/>
  <c r="A156"/>
  <c r="B156" s="1"/>
  <c r="D156" s="1"/>
  <c r="A154"/>
  <c r="A150"/>
  <c r="B150" s="1"/>
  <c r="A149"/>
  <c r="B149" s="1"/>
  <c r="A148"/>
  <c r="B148" s="1"/>
  <c r="A147"/>
  <c r="B147" s="1"/>
  <c r="A146"/>
  <c r="B146" s="1"/>
  <c r="D146" s="1"/>
  <c r="A144"/>
  <c r="A140"/>
  <c r="B140" s="1"/>
  <c r="A138"/>
  <c r="B138" s="1"/>
  <c r="D138" s="1"/>
  <c r="A137"/>
  <c r="B137" s="1"/>
  <c r="D137" s="1"/>
  <c r="A135"/>
  <c r="A131"/>
  <c r="B131" s="1"/>
  <c r="A129"/>
  <c r="B129" s="1"/>
  <c r="D129" s="1"/>
  <c r="A128"/>
  <c r="B128" s="1"/>
  <c r="D128" s="1"/>
  <c r="A127"/>
  <c r="B127" s="1"/>
  <c r="D127" s="1"/>
  <c r="A126"/>
  <c r="B126" s="1"/>
  <c r="D126" s="1"/>
  <c r="A124"/>
  <c r="A120"/>
  <c r="B120" s="1"/>
  <c r="A119"/>
  <c r="B119" s="1"/>
  <c r="A118"/>
  <c r="B118" s="1"/>
  <c r="A117"/>
  <c r="B117" s="1"/>
  <c r="A116"/>
  <c r="B116" s="1"/>
  <c r="D116" s="1"/>
  <c r="A115"/>
  <c r="B115" s="1"/>
  <c r="A113"/>
  <c r="A109"/>
  <c r="B109" s="1"/>
  <c r="A107"/>
  <c r="B107" s="1"/>
  <c r="A106"/>
  <c r="B106" s="1"/>
  <c r="A105"/>
  <c r="B105" s="1"/>
  <c r="D105" s="1"/>
  <c r="A103"/>
  <c r="A99"/>
  <c r="B99" s="1"/>
  <c r="A97"/>
  <c r="B97" s="1"/>
  <c r="A96"/>
  <c r="B96" s="1"/>
  <c r="A95"/>
  <c r="B95" s="1"/>
  <c r="D95" s="1"/>
  <c r="A94"/>
  <c r="B94" s="1"/>
  <c r="A93"/>
  <c r="B93" s="1"/>
  <c r="A92"/>
  <c r="B92" s="1"/>
  <c r="A90"/>
  <c r="A86"/>
  <c r="B86" s="1"/>
  <c r="B74"/>
  <c r="B73"/>
  <c r="B72"/>
  <c r="B71"/>
  <c r="D71" s="1"/>
  <c r="B70"/>
  <c r="B69"/>
  <c r="A67"/>
  <c r="A63"/>
  <c r="B63" s="1"/>
  <c r="A62"/>
  <c r="B62" s="1"/>
  <c r="A61"/>
  <c r="B61" s="1"/>
  <c r="A60"/>
  <c r="B60" s="1"/>
  <c r="A59"/>
  <c r="B59" s="1"/>
  <c r="D59" s="1"/>
  <c r="A58"/>
  <c r="B58" s="1"/>
  <c r="A56"/>
  <c r="A52"/>
  <c r="B52" s="1"/>
  <c r="A51"/>
  <c r="B51" s="1"/>
  <c r="A50"/>
  <c r="B50" s="1"/>
  <c r="A49"/>
  <c r="B49" s="1"/>
  <c r="D49" s="1"/>
  <c r="A47"/>
  <c r="A43"/>
  <c r="B43" s="1"/>
  <c r="A41"/>
  <c r="B41" s="1"/>
  <c r="D41" s="1"/>
  <c r="A40"/>
  <c r="B40" s="1"/>
  <c r="A39"/>
  <c r="B39" s="1"/>
  <c r="A38"/>
  <c r="B38" s="1"/>
  <c r="A37"/>
  <c r="B37" s="1"/>
  <c r="D37" s="1"/>
  <c r="A36"/>
  <c r="B36" s="1"/>
  <c r="A35"/>
  <c r="B35" s="1"/>
  <c r="A34"/>
  <c r="B34" s="1"/>
  <c r="A32"/>
  <c r="A27"/>
  <c r="B27" s="1"/>
  <c r="A26"/>
  <c r="B26" s="1"/>
  <c r="D26" s="1"/>
  <c r="A25"/>
  <c r="B25" s="1"/>
  <c r="D25" s="1"/>
  <c r="A24"/>
  <c r="B24" s="1"/>
  <c r="D24" s="1"/>
  <c r="A23"/>
  <c r="A22"/>
  <c r="B22" s="1"/>
  <c r="D22" s="1"/>
  <c r="A21"/>
  <c r="B21" s="1"/>
  <c r="D21" s="1"/>
  <c r="A19"/>
  <c r="A15"/>
  <c r="B15" s="1"/>
  <c r="A14"/>
  <c r="B14" s="1"/>
  <c r="D14" s="1"/>
  <c r="A13"/>
  <c r="B13" s="1"/>
  <c r="D13" s="1"/>
  <c r="A12"/>
  <c r="B12" s="1"/>
  <c r="D12" s="1"/>
  <c r="A10"/>
  <c r="B6"/>
  <c r="A6"/>
  <c r="B5"/>
  <c r="A5"/>
  <c r="B4"/>
  <c r="A4"/>
  <c r="B3"/>
  <c r="A3"/>
  <c r="B2"/>
  <c r="A2"/>
  <c r="A1"/>
  <c r="A135" i="3"/>
  <c r="B135" s="1"/>
  <c r="A97"/>
  <c r="B97" s="1"/>
  <c r="D160" i="12" l="1"/>
  <c r="D300"/>
  <c r="D228"/>
  <c r="D309"/>
  <c r="D110"/>
  <c r="C16" i="10"/>
  <c r="D291" i="12"/>
  <c r="D185"/>
  <c r="D219"/>
  <c r="D177"/>
  <c r="C169"/>
  <c r="D328"/>
  <c r="C177"/>
  <c r="D64"/>
  <c r="D16"/>
  <c r="C16"/>
  <c r="D246"/>
  <c r="C110"/>
  <c r="C100"/>
  <c r="C44"/>
  <c r="C282"/>
  <c r="C219"/>
  <c r="C185"/>
  <c r="C64"/>
  <c r="D317"/>
  <c r="D211"/>
  <c r="D141"/>
  <c r="C344"/>
  <c r="D282"/>
  <c r="D203"/>
  <c r="D121"/>
  <c r="D169"/>
  <c r="C255"/>
  <c r="C87"/>
  <c r="C132"/>
  <c r="C264"/>
  <c r="C121"/>
  <c r="D53"/>
  <c r="D28"/>
  <c r="C291"/>
  <c r="D264"/>
  <c r="C317"/>
  <c r="C228"/>
  <c r="C141"/>
  <c r="C328"/>
  <c r="C151"/>
  <c r="D151"/>
  <c r="C237"/>
  <c r="D194"/>
  <c r="C160"/>
  <c r="C203"/>
  <c r="C300"/>
  <c r="C246"/>
  <c r="C53"/>
  <c r="C309"/>
  <c r="C336"/>
  <c r="D100"/>
  <c r="C211"/>
  <c r="C273"/>
  <c r="D255"/>
  <c r="D87"/>
  <c r="D44"/>
  <c r="C194"/>
  <c r="D237"/>
  <c r="C16" i="11"/>
  <c r="D344" i="12"/>
  <c r="C28"/>
  <c r="D273"/>
  <c r="D336"/>
  <c r="D132"/>
  <c r="C300" i="11"/>
  <c r="C219"/>
  <c r="D16"/>
  <c r="C141"/>
  <c r="D317"/>
  <c r="C177"/>
  <c r="D177"/>
  <c r="C194"/>
  <c r="D282"/>
  <c r="C160"/>
  <c r="C228"/>
  <c r="D246"/>
  <c r="C53"/>
  <c r="D110"/>
  <c r="D344"/>
  <c r="D194"/>
  <c r="D160"/>
  <c r="D87"/>
  <c r="C344"/>
  <c r="D264"/>
  <c r="D53"/>
  <c r="C255"/>
  <c r="D151"/>
  <c r="C282"/>
  <c r="C273"/>
  <c r="C264"/>
  <c r="C203"/>
  <c r="C110"/>
  <c r="D300"/>
  <c r="D228"/>
  <c r="C317"/>
  <c r="D203"/>
  <c r="C246"/>
  <c r="C44"/>
  <c r="C151"/>
  <c r="C169"/>
  <c r="C100"/>
  <c r="D219"/>
  <c r="D169"/>
  <c r="D255"/>
  <c r="D121"/>
  <c r="C237"/>
  <c r="C336"/>
  <c r="D291"/>
  <c r="D132"/>
  <c r="D237"/>
  <c r="D211"/>
  <c r="C64"/>
  <c r="D336"/>
  <c r="C132"/>
  <c r="D141"/>
  <c r="D44"/>
  <c r="C87"/>
  <c r="C211"/>
  <c r="D28"/>
  <c r="C309"/>
  <c r="C328"/>
  <c r="C28"/>
  <c r="C185"/>
  <c r="D100"/>
  <c r="D185"/>
  <c r="C121"/>
  <c r="D328"/>
  <c r="D273"/>
  <c r="D64"/>
  <c r="C291"/>
  <c r="D309"/>
  <c r="D141" i="10"/>
  <c r="C177"/>
  <c r="D160"/>
  <c r="C151"/>
  <c r="D300"/>
  <c r="D282"/>
  <c r="C255"/>
  <c r="C100"/>
  <c r="D121"/>
  <c r="D177"/>
  <c r="D291"/>
  <c r="C246"/>
  <c r="C273"/>
  <c r="C160"/>
  <c r="D344"/>
  <c r="C53"/>
  <c r="C169"/>
  <c r="D64"/>
  <c r="C228"/>
  <c r="D264"/>
  <c r="C317"/>
  <c r="D246"/>
  <c r="D317"/>
  <c r="D53"/>
  <c r="C121"/>
  <c r="C309"/>
  <c r="C185"/>
  <c r="C141"/>
  <c r="D203"/>
  <c r="C344"/>
  <c r="C110"/>
  <c r="C219"/>
  <c r="C264"/>
  <c r="C300"/>
  <c r="C203"/>
  <c r="C44"/>
  <c r="D228"/>
  <c r="D16"/>
  <c r="C132"/>
  <c r="D110"/>
  <c r="C282"/>
  <c r="D255"/>
  <c r="C211"/>
  <c r="C336"/>
  <c r="D151"/>
  <c r="D273"/>
  <c r="D44"/>
  <c r="D237"/>
  <c r="D100"/>
  <c r="D309"/>
  <c r="D28"/>
  <c r="D219"/>
  <c r="D169"/>
  <c r="C64"/>
  <c r="D194"/>
  <c r="C291"/>
  <c r="C328"/>
  <c r="C28"/>
  <c r="D211"/>
  <c r="C87"/>
  <c r="C194"/>
  <c r="D132"/>
  <c r="D328"/>
  <c r="C237"/>
  <c r="D185"/>
  <c r="D336"/>
  <c r="D87"/>
  <c r="B23" i="5"/>
  <c r="D115"/>
  <c r="D34"/>
  <c r="D38"/>
  <c r="D50"/>
  <c r="D60"/>
  <c r="D72"/>
  <c r="D92"/>
  <c r="D96"/>
  <c r="D106"/>
  <c r="D117"/>
  <c r="D147"/>
  <c r="D174"/>
  <c r="D183"/>
  <c r="D208"/>
  <c r="D314"/>
  <c r="D323"/>
  <c r="D35"/>
  <c r="D39"/>
  <c r="D51"/>
  <c r="D61"/>
  <c r="D69"/>
  <c r="D73"/>
  <c r="D93"/>
  <c r="D97"/>
  <c r="D107"/>
  <c r="D118"/>
  <c r="D148"/>
  <c r="D175"/>
  <c r="D209"/>
  <c r="D315"/>
  <c r="D324"/>
  <c r="D341"/>
  <c r="D36"/>
  <c r="D58"/>
  <c r="D62"/>
  <c r="D70"/>
  <c r="D74"/>
  <c r="D94"/>
  <c r="D119"/>
  <c r="D217"/>
  <c r="D325"/>
  <c r="D333"/>
  <c r="D149"/>
  <c r="D40"/>
  <c r="D342"/>
  <c r="C14"/>
  <c r="C15"/>
  <c r="C73"/>
  <c r="C93"/>
  <c r="C99"/>
  <c r="C148"/>
  <c r="C97"/>
  <c r="C138"/>
  <c r="C63"/>
  <c r="C59"/>
  <c r="C95"/>
  <c r="C128"/>
  <c r="C51"/>
  <c r="C117"/>
  <c r="C86"/>
  <c r="C70"/>
  <c r="C149"/>
  <c r="B203"/>
  <c r="C61"/>
  <c r="C71"/>
  <c r="C96"/>
  <c r="C109"/>
  <c r="C106"/>
  <c r="C118"/>
  <c r="C129"/>
  <c r="C60"/>
  <c r="C74"/>
  <c r="C52"/>
  <c r="C50"/>
  <c r="C62"/>
  <c r="C72"/>
  <c r="C94"/>
  <c r="C107"/>
  <c r="C120"/>
  <c r="C119"/>
  <c r="C116"/>
  <c r="C131"/>
  <c r="C127"/>
  <c r="C140"/>
  <c r="C150"/>
  <c r="C147"/>
  <c r="C25"/>
  <c r="C43"/>
  <c r="C58"/>
  <c r="C39"/>
  <c r="C36"/>
  <c r="C40"/>
  <c r="C41"/>
  <c r="C37"/>
  <c r="C35"/>
  <c r="C38"/>
  <c r="C279"/>
  <c r="C281"/>
  <c r="C27"/>
  <c r="C22"/>
  <c r="C175"/>
  <c r="C252"/>
  <c r="C280"/>
  <c r="C24"/>
  <c r="C26"/>
  <c r="B87"/>
  <c r="B169"/>
  <c r="C13"/>
  <c r="C12"/>
  <c r="C21"/>
  <c r="B132"/>
  <c r="C156"/>
  <c r="C176"/>
  <c r="C184"/>
  <c r="C192"/>
  <c r="C225"/>
  <c r="C235"/>
  <c r="C236"/>
  <c r="C254"/>
  <c r="C193"/>
  <c r="B246"/>
  <c r="C263"/>
  <c r="C307"/>
  <c r="C308"/>
  <c r="B141"/>
  <c r="B211"/>
  <c r="C69"/>
  <c r="C115"/>
  <c r="C157"/>
  <c r="C159"/>
  <c r="C165"/>
  <c r="C166"/>
  <c r="C167"/>
  <c r="C168"/>
  <c r="C190"/>
  <c r="C209"/>
  <c r="C210"/>
  <c r="C272"/>
  <c r="C278"/>
  <c r="B282"/>
  <c r="C297"/>
  <c r="B44"/>
  <c r="C34"/>
  <c r="C92"/>
  <c r="C137"/>
  <c r="C174"/>
  <c r="C208"/>
  <c r="C251"/>
  <c r="C271"/>
  <c r="C287"/>
  <c r="C217"/>
  <c r="C270"/>
  <c r="B219"/>
  <c r="C296"/>
  <c r="B300"/>
  <c r="C105"/>
  <c r="B110"/>
  <c r="C182"/>
  <c r="B185"/>
  <c r="C224"/>
  <c r="B228"/>
  <c r="C183"/>
  <c r="B64"/>
  <c r="B160"/>
  <c r="C234"/>
  <c r="B273"/>
  <c r="C269"/>
  <c r="C306"/>
  <c r="C315"/>
  <c r="C341"/>
  <c r="C327"/>
  <c r="C326"/>
  <c r="C289"/>
  <c r="C253"/>
  <c r="B328"/>
  <c r="C322"/>
  <c r="C334"/>
  <c r="B291"/>
  <c r="B100"/>
  <c r="C126"/>
  <c r="C158"/>
  <c r="B177"/>
  <c r="C199"/>
  <c r="C200"/>
  <c r="C201"/>
  <c r="C202"/>
  <c r="C218"/>
  <c r="C227"/>
  <c r="C242"/>
  <c r="C243"/>
  <c r="C244"/>
  <c r="C245"/>
  <c r="C261"/>
  <c r="C288"/>
  <c r="C290"/>
  <c r="C299"/>
  <c r="C316"/>
  <c r="C335"/>
  <c r="C49"/>
  <c r="B53"/>
  <c r="C146"/>
  <c r="B151"/>
  <c r="C216"/>
  <c r="C260"/>
  <c r="C325"/>
  <c r="B16"/>
  <c r="B121"/>
  <c r="B194"/>
  <c r="B237"/>
  <c r="C233"/>
  <c r="B309"/>
  <c r="C305"/>
  <c r="C191"/>
  <c r="B255"/>
  <c r="B264"/>
  <c r="C323"/>
  <c r="C314"/>
  <c r="B317"/>
  <c r="C333"/>
  <c r="B336"/>
  <c r="C226"/>
  <c r="C262"/>
  <c r="C298"/>
  <c r="C324"/>
  <c r="C342"/>
  <c r="B344"/>
  <c r="C343"/>
  <c r="C97" i="3"/>
  <c r="A340"/>
  <c r="B340" s="1"/>
  <c r="C340" s="1"/>
  <c r="A341"/>
  <c r="B341" s="1"/>
  <c r="C341" s="1"/>
  <c r="A339"/>
  <c r="B339" s="1"/>
  <c r="C339" s="1"/>
  <c r="A337"/>
  <c r="A332"/>
  <c r="B332" s="1"/>
  <c r="C332" s="1"/>
  <c r="A333"/>
  <c r="B333" s="1"/>
  <c r="C333" s="1"/>
  <c r="A331"/>
  <c r="B331" s="1"/>
  <c r="C331" s="1"/>
  <c r="A329"/>
  <c r="A321"/>
  <c r="B321" s="1"/>
  <c r="C321" s="1"/>
  <c r="A322"/>
  <c r="B322" s="1"/>
  <c r="D322" s="1"/>
  <c r="A323"/>
  <c r="B323" s="1"/>
  <c r="C323" s="1"/>
  <c r="A324"/>
  <c r="B324" s="1"/>
  <c r="C324" s="1"/>
  <c r="A325"/>
  <c r="B325" s="1"/>
  <c r="C325" s="1"/>
  <c r="A320"/>
  <c r="B320" s="1"/>
  <c r="C320" s="1"/>
  <c r="A318"/>
  <c r="A313"/>
  <c r="B313" s="1"/>
  <c r="C313" s="1"/>
  <c r="A314"/>
  <c r="B314" s="1"/>
  <c r="C314" s="1"/>
  <c r="A312"/>
  <c r="B312" s="1"/>
  <c r="D312" s="1"/>
  <c r="A310"/>
  <c r="A304"/>
  <c r="B304" s="1"/>
  <c r="A305"/>
  <c r="B305" s="1"/>
  <c r="A306"/>
  <c r="B306" s="1"/>
  <c r="C306" s="1"/>
  <c r="A303"/>
  <c r="B303" s="1"/>
  <c r="D303" s="1"/>
  <c r="A301"/>
  <c r="A295"/>
  <c r="B295" s="1"/>
  <c r="D295" s="1"/>
  <c r="A296"/>
  <c r="B296" s="1"/>
  <c r="A297"/>
  <c r="B297" s="1"/>
  <c r="C297" s="1"/>
  <c r="A294"/>
  <c r="B294" s="1"/>
  <c r="D294" s="1"/>
  <c r="A292"/>
  <c r="A286"/>
  <c r="B286" s="1"/>
  <c r="A287"/>
  <c r="B287" s="1"/>
  <c r="A288"/>
  <c r="B288" s="1"/>
  <c r="C288" s="1"/>
  <c r="A285"/>
  <c r="B285" s="1"/>
  <c r="A283"/>
  <c r="A277"/>
  <c r="B277" s="1"/>
  <c r="A278"/>
  <c r="B278" s="1"/>
  <c r="A279"/>
  <c r="B279" s="1"/>
  <c r="C279" s="1"/>
  <c r="A276"/>
  <c r="B276" s="1"/>
  <c r="A274"/>
  <c r="A268"/>
  <c r="B268" s="1"/>
  <c r="A269"/>
  <c r="B269" s="1"/>
  <c r="A270"/>
  <c r="B270" s="1"/>
  <c r="C270" s="1"/>
  <c r="A267"/>
  <c r="B267" s="1"/>
  <c r="A265"/>
  <c r="A259"/>
  <c r="B259" s="1"/>
  <c r="D259" s="1"/>
  <c r="A260"/>
  <c r="B260" s="1"/>
  <c r="C260" s="1"/>
  <c r="A261"/>
  <c r="B261" s="1"/>
  <c r="A258"/>
  <c r="B258" s="1"/>
  <c r="D258" s="1"/>
  <c r="A256"/>
  <c r="A250"/>
  <c r="B250" s="1"/>
  <c r="A251"/>
  <c r="B251" s="1"/>
  <c r="A252"/>
  <c r="B252" s="1"/>
  <c r="C252" s="1"/>
  <c r="A249"/>
  <c r="B249" s="1"/>
  <c r="A247"/>
  <c r="A241"/>
  <c r="B241" s="1"/>
  <c r="A242"/>
  <c r="B242" s="1"/>
  <c r="A243"/>
  <c r="B243" s="1"/>
  <c r="C243" s="1"/>
  <c r="A240"/>
  <c r="B240" s="1"/>
  <c r="A238"/>
  <c r="A232"/>
  <c r="B232" s="1"/>
  <c r="A233"/>
  <c r="B233" s="1"/>
  <c r="A234"/>
  <c r="B234" s="1"/>
  <c r="C234" s="1"/>
  <c r="A231"/>
  <c r="B231" s="1"/>
  <c r="A229"/>
  <c r="A223"/>
  <c r="B223" s="1"/>
  <c r="D223" s="1"/>
  <c r="A224"/>
  <c r="B224" s="1"/>
  <c r="A225"/>
  <c r="B225" s="1"/>
  <c r="C225" s="1"/>
  <c r="A222"/>
  <c r="B222" s="1"/>
  <c r="A220"/>
  <c r="A215"/>
  <c r="B215" s="1"/>
  <c r="C215" s="1"/>
  <c r="A216"/>
  <c r="B216" s="1"/>
  <c r="C216" s="1"/>
  <c r="A214"/>
  <c r="B214" s="1"/>
  <c r="C214" s="1"/>
  <c r="A212"/>
  <c r="A207"/>
  <c r="B207" s="1"/>
  <c r="D207" s="1"/>
  <c r="A208"/>
  <c r="B208" s="1"/>
  <c r="A206"/>
  <c r="B206" s="1"/>
  <c r="D206" s="1"/>
  <c r="A204"/>
  <c r="A198"/>
  <c r="B198" s="1"/>
  <c r="A199"/>
  <c r="B199" s="1"/>
  <c r="A200"/>
  <c r="B200" s="1"/>
  <c r="C200" s="1"/>
  <c r="A197"/>
  <c r="B197" s="1"/>
  <c r="D197" s="1"/>
  <c r="A195"/>
  <c r="A189"/>
  <c r="B189" s="1"/>
  <c r="D189" s="1"/>
  <c r="A190"/>
  <c r="B190" s="1"/>
  <c r="D190" s="1"/>
  <c r="A191"/>
  <c r="B191" s="1"/>
  <c r="C191" s="1"/>
  <c r="A188"/>
  <c r="B188" s="1"/>
  <c r="D188" s="1"/>
  <c r="A186"/>
  <c r="A181"/>
  <c r="B181" s="1"/>
  <c r="C181" s="1"/>
  <c r="A182"/>
  <c r="B182" s="1"/>
  <c r="C182" s="1"/>
  <c r="A180"/>
  <c r="B180" s="1"/>
  <c r="C180" s="1"/>
  <c r="A178"/>
  <c r="A173"/>
  <c r="B173" s="1"/>
  <c r="C173" s="1"/>
  <c r="A174"/>
  <c r="B174" s="1"/>
  <c r="C174" s="1"/>
  <c r="A172"/>
  <c r="A170"/>
  <c r="A164"/>
  <c r="B164" s="1"/>
  <c r="D164" s="1"/>
  <c r="A165"/>
  <c r="B165" s="1"/>
  <c r="D165" s="1"/>
  <c r="A166"/>
  <c r="B166" s="1"/>
  <c r="C166" s="1"/>
  <c r="A163"/>
  <c r="B163" s="1"/>
  <c r="D163" s="1"/>
  <c r="A161"/>
  <c r="A155"/>
  <c r="B155" s="1"/>
  <c r="D155" s="1"/>
  <c r="A156"/>
  <c r="B156" s="1"/>
  <c r="D156" s="1"/>
  <c r="A157"/>
  <c r="B157" s="1"/>
  <c r="C157" s="1"/>
  <c r="A154"/>
  <c r="B154" s="1"/>
  <c r="A152"/>
  <c r="A145"/>
  <c r="B145" s="1"/>
  <c r="C145" s="1"/>
  <c r="A146"/>
  <c r="B146" s="1"/>
  <c r="D146" s="1"/>
  <c r="A147"/>
  <c r="B147" s="1"/>
  <c r="C147" s="1"/>
  <c r="A148"/>
  <c r="B148" s="1"/>
  <c r="C148" s="1"/>
  <c r="A144"/>
  <c r="B144" s="1"/>
  <c r="C144" s="1"/>
  <c r="A142"/>
  <c r="A136"/>
  <c r="A138"/>
  <c r="D135"/>
  <c r="A133"/>
  <c r="A125"/>
  <c r="B125" s="1"/>
  <c r="D125" s="1"/>
  <c r="A126"/>
  <c r="B126" s="1"/>
  <c r="D126" s="1"/>
  <c r="A127"/>
  <c r="B127" s="1"/>
  <c r="D127" s="1"/>
  <c r="A129"/>
  <c r="B129" s="1"/>
  <c r="C129" s="1"/>
  <c r="A124"/>
  <c r="B124" s="1"/>
  <c r="D124" s="1"/>
  <c r="A122"/>
  <c r="A114"/>
  <c r="B114" s="1"/>
  <c r="C114" s="1"/>
  <c r="A115"/>
  <c r="B115" s="1"/>
  <c r="D115" s="1"/>
  <c r="A116"/>
  <c r="B116" s="1"/>
  <c r="C116" s="1"/>
  <c r="A117"/>
  <c r="B117" s="1"/>
  <c r="C117" s="1"/>
  <c r="A118"/>
  <c r="B118" s="1"/>
  <c r="C118" s="1"/>
  <c r="A113"/>
  <c r="B113" s="1"/>
  <c r="C113" s="1"/>
  <c r="A111"/>
  <c r="B105"/>
  <c r="C105" s="1"/>
  <c r="A107"/>
  <c r="A103"/>
  <c r="B103" s="1"/>
  <c r="D103" s="1"/>
  <c r="A101"/>
  <c r="A91"/>
  <c r="B91" s="1"/>
  <c r="D91" s="1"/>
  <c r="A92"/>
  <c r="B92" s="1"/>
  <c r="D92" s="1"/>
  <c r="A93"/>
  <c r="B93" s="1"/>
  <c r="D93" s="1"/>
  <c r="A94"/>
  <c r="A90"/>
  <c r="B90" s="1"/>
  <c r="D90" s="1"/>
  <c r="A88"/>
  <c r="B68"/>
  <c r="D68" s="1"/>
  <c r="B69"/>
  <c r="D69" s="1"/>
  <c r="B70"/>
  <c r="D70" s="1"/>
  <c r="B71"/>
  <c r="D71" s="1"/>
  <c r="A84"/>
  <c r="B84" s="1"/>
  <c r="C84" s="1"/>
  <c r="B67"/>
  <c r="D67" s="1"/>
  <c r="A65"/>
  <c r="A57"/>
  <c r="B57" s="1"/>
  <c r="D57" s="1"/>
  <c r="A58"/>
  <c r="B58" s="1"/>
  <c r="D58" s="1"/>
  <c r="A59"/>
  <c r="B59" s="1"/>
  <c r="D59" s="1"/>
  <c r="A60"/>
  <c r="B60" s="1"/>
  <c r="D60" s="1"/>
  <c r="A61"/>
  <c r="B61" s="1"/>
  <c r="C61" s="1"/>
  <c r="A56"/>
  <c r="B56" s="1"/>
  <c r="D56" s="1"/>
  <c r="A54"/>
  <c r="A48"/>
  <c r="B48" s="1"/>
  <c r="C48" s="1"/>
  <c r="A49"/>
  <c r="B49" s="1"/>
  <c r="D49" s="1"/>
  <c r="A50"/>
  <c r="B50" s="1"/>
  <c r="A47"/>
  <c r="B47" s="1"/>
  <c r="C47" s="1"/>
  <c r="A45"/>
  <c r="A33"/>
  <c r="B33" s="1"/>
  <c r="C33" s="1"/>
  <c r="A41"/>
  <c r="B41" s="1"/>
  <c r="C41" s="1"/>
  <c r="A32"/>
  <c r="B32" s="1"/>
  <c r="C32" s="1"/>
  <c r="A30"/>
  <c r="A21"/>
  <c r="B21" s="1"/>
  <c r="D21" s="1"/>
  <c r="A26"/>
  <c r="B26" s="1"/>
  <c r="C26" s="1"/>
  <c r="A20"/>
  <c r="B20" s="1"/>
  <c r="C20" s="1"/>
  <c r="A18"/>
  <c r="A12"/>
  <c r="B12" s="1"/>
  <c r="D12" s="1"/>
  <c r="A14"/>
  <c r="B14" s="1"/>
  <c r="C14" s="1"/>
  <c r="A11"/>
  <c r="B11" s="1"/>
  <c r="C11" s="1"/>
  <c r="A9"/>
  <c r="A1"/>
  <c r="B3"/>
  <c r="B4"/>
  <c r="B5"/>
  <c r="B6"/>
  <c r="B2"/>
  <c r="A3"/>
  <c r="A4"/>
  <c r="A5"/>
  <c r="A6"/>
  <c r="A2"/>
  <c r="C124" l="1"/>
  <c r="C127"/>
  <c r="C154"/>
  <c r="D154"/>
  <c r="C23" i="5"/>
  <c r="C28" s="1"/>
  <c r="D23"/>
  <c r="D28" s="1"/>
  <c r="C189" i="3"/>
  <c r="C198"/>
  <c r="D198"/>
  <c r="B28" i="5"/>
  <c r="C164" i="3"/>
  <c r="C163"/>
  <c r="C222"/>
  <c r="D222"/>
  <c r="C232"/>
  <c r="D232"/>
  <c r="C231"/>
  <c r="D231"/>
  <c r="C240"/>
  <c r="D240"/>
  <c r="C241"/>
  <c r="D241"/>
  <c r="C249"/>
  <c r="D249"/>
  <c r="C250"/>
  <c r="D250"/>
  <c r="C268"/>
  <c r="D268"/>
  <c r="C267"/>
  <c r="D267"/>
  <c r="C277"/>
  <c r="D277"/>
  <c r="C276"/>
  <c r="D276"/>
  <c r="C285"/>
  <c r="D285"/>
  <c r="C286"/>
  <c r="D286"/>
  <c r="C304"/>
  <c r="D304"/>
  <c r="C92"/>
  <c r="C93"/>
  <c r="C70"/>
  <c r="C71"/>
  <c r="C67"/>
  <c r="C57"/>
  <c r="C56"/>
  <c r="C60"/>
  <c r="C59"/>
  <c r="D87" i="5"/>
  <c r="C194"/>
  <c r="C121"/>
  <c r="C44"/>
  <c r="D203"/>
  <c r="D121"/>
  <c r="D246"/>
  <c r="D132"/>
  <c r="D169"/>
  <c r="D291"/>
  <c r="C219"/>
  <c r="D177"/>
  <c r="C160"/>
  <c r="C64"/>
  <c r="C100"/>
  <c r="C16"/>
  <c r="C255"/>
  <c r="D64"/>
  <c r="C141"/>
  <c r="C282"/>
  <c r="C87"/>
  <c r="C211"/>
  <c r="D100"/>
  <c r="C291"/>
  <c r="C177"/>
  <c r="C169"/>
  <c r="C132"/>
  <c r="D110"/>
  <c r="D282"/>
  <c r="D219"/>
  <c r="C151"/>
  <c r="C273"/>
  <c r="C185"/>
  <c r="D344"/>
  <c r="C309"/>
  <c r="D237"/>
  <c r="D194"/>
  <c r="D16"/>
  <c r="C264"/>
  <c r="C53"/>
  <c r="C246"/>
  <c r="D211"/>
  <c r="D141"/>
  <c r="D44"/>
  <c r="D328"/>
  <c r="D160"/>
  <c r="C228"/>
  <c r="C110"/>
  <c r="D300"/>
  <c r="D53"/>
  <c r="D317"/>
  <c r="C203"/>
  <c r="D273"/>
  <c r="C336"/>
  <c r="D255"/>
  <c r="D309"/>
  <c r="C344"/>
  <c r="C300"/>
  <c r="D336"/>
  <c r="C317"/>
  <c r="C237"/>
  <c r="D264"/>
  <c r="D151"/>
  <c r="C328"/>
  <c r="D228"/>
  <c r="D185"/>
  <c r="C12" i="3"/>
  <c r="D117"/>
  <c r="D114"/>
  <c r="D116"/>
  <c r="C197"/>
  <c r="D340"/>
  <c r="D339"/>
  <c r="D331"/>
  <c r="D332"/>
  <c r="D321"/>
  <c r="D324"/>
  <c r="D320"/>
  <c r="D323"/>
  <c r="D313"/>
  <c r="C295"/>
  <c r="C223"/>
  <c r="D214"/>
  <c r="D215"/>
  <c r="D180"/>
  <c r="D181"/>
  <c r="D173"/>
  <c r="C155"/>
  <c r="D145"/>
  <c r="D144"/>
  <c r="D147"/>
  <c r="C135"/>
  <c r="C125"/>
  <c r="D113"/>
  <c r="D105"/>
  <c r="C68"/>
  <c r="D48"/>
  <c r="D47"/>
  <c r="D33"/>
  <c r="D32"/>
  <c r="D20"/>
  <c r="C21"/>
  <c r="D11"/>
  <c r="B94"/>
  <c r="D94" s="1"/>
  <c r="B107"/>
  <c r="B104"/>
  <c r="B172"/>
  <c r="B235"/>
  <c r="C261"/>
  <c r="C259"/>
  <c r="C312"/>
  <c r="B138"/>
  <c r="B136"/>
  <c r="C208"/>
  <c r="C207"/>
  <c r="B307"/>
  <c r="B342"/>
  <c r="B334"/>
  <c r="C322"/>
  <c r="B326"/>
  <c r="C305"/>
  <c r="C303"/>
  <c r="C296"/>
  <c r="C294"/>
  <c r="C287"/>
  <c r="C278"/>
  <c r="C269"/>
  <c r="B262"/>
  <c r="C258"/>
  <c r="C251"/>
  <c r="B253"/>
  <c r="C242"/>
  <c r="B244"/>
  <c r="C233"/>
  <c r="C224"/>
  <c r="B226"/>
  <c r="B217"/>
  <c r="B209"/>
  <c r="C206"/>
  <c r="C199"/>
  <c r="C190"/>
  <c r="C188"/>
  <c r="B192"/>
  <c r="B183"/>
  <c r="C165"/>
  <c r="C156"/>
  <c r="C146"/>
  <c r="B149"/>
  <c r="C126"/>
  <c r="B130"/>
  <c r="C115"/>
  <c r="B119"/>
  <c r="C103"/>
  <c r="C91"/>
  <c r="C90"/>
  <c r="C69"/>
  <c r="B85"/>
  <c r="C58"/>
  <c r="C50"/>
  <c r="C49"/>
  <c r="B51"/>
  <c r="B42"/>
  <c r="B27"/>
  <c r="B15"/>
  <c r="B98" l="1"/>
  <c r="D98"/>
  <c r="C15"/>
  <c r="B289"/>
  <c r="C289"/>
  <c r="D15"/>
  <c r="D342"/>
  <c r="C342"/>
  <c r="D334"/>
  <c r="D326"/>
  <c r="C307"/>
  <c r="D307"/>
  <c r="C298"/>
  <c r="D298"/>
  <c r="C280"/>
  <c r="D280"/>
  <c r="C271"/>
  <c r="D271"/>
  <c r="B271"/>
  <c r="D262"/>
  <c r="D253"/>
  <c r="D244"/>
  <c r="C235"/>
  <c r="D235"/>
  <c r="D226"/>
  <c r="D217"/>
  <c r="D209"/>
  <c r="C201"/>
  <c r="D201"/>
  <c r="D192"/>
  <c r="D183"/>
  <c r="B175"/>
  <c r="D172"/>
  <c r="D175" s="1"/>
  <c r="C172"/>
  <c r="C175" s="1"/>
  <c r="B167"/>
  <c r="D167"/>
  <c r="C158"/>
  <c r="D158"/>
  <c r="D149"/>
  <c r="C138"/>
  <c r="C136"/>
  <c r="D136"/>
  <c r="D130"/>
  <c r="D119"/>
  <c r="C107"/>
  <c r="C104"/>
  <c r="D104"/>
  <c r="C94"/>
  <c r="C98" s="1"/>
  <c r="D85"/>
  <c r="B62"/>
  <c r="D62"/>
  <c r="D51"/>
  <c r="D42"/>
  <c r="D27"/>
  <c r="C244"/>
  <c r="C119"/>
  <c r="B280"/>
  <c r="B158"/>
  <c r="C226"/>
  <c r="B139"/>
  <c r="C51"/>
  <c r="B201"/>
  <c r="C262"/>
  <c r="B315"/>
  <c r="C62"/>
  <c r="B108"/>
  <c r="B298"/>
  <c r="C326"/>
  <c r="C167"/>
  <c r="C27"/>
  <c r="C42"/>
  <c r="C334"/>
  <c r="C253"/>
  <c r="C217"/>
  <c r="C209"/>
  <c r="C192"/>
  <c r="C183"/>
  <c r="C149"/>
  <c r="C130"/>
  <c r="C85"/>
  <c r="D289" l="1"/>
  <c r="C315"/>
  <c r="D315"/>
  <c r="D139"/>
  <c r="C139"/>
  <c r="C108"/>
  <c r="D108"/>
</calcChain>
</file>

<file path=xl/sharedStrings.xml><?xml version="1.0" encoding="utf-8"?>
<sst xmlns="http://schemas.openxmlformats.org/spreadsheetml/2006/main" count="1397" uniqueCount="364">
  <si>
    <t>Quest1</t>
  </si>
  <si>
    <t>Quest2</t>
  </si>
  <si>
    <t>Quest3</t>
  </si>
  <si>
    <t>Quest4</t>
  </si>
  <si>
    <t>Quest5</t>
  </si>
  <si>
    <t>Quest6</t>
  </si>
  <si>
    <t>Quest7</t>
  </si>
  <si>
    <t>Quest8</t>
  </si>
  <si>
    <t>Quest9</t>
  </si>
  <si>
    <t>Quest10</t>
  </si>
  <si>
    <t>Quest11</t>
  </si>
  <si>
    <t>Quest12</t>
  </si>
  <si>
    <t>Quest13</t>
  </si>
  <si>
    <t>Quest14</t>
  </si>
  <si>
    <t>Quest15</t>
  </si>
  <si>
    <t>Quest16</t>
  </si>
  <si>
    <t>Quest17</t>
  </si>
  <si>
    <t>Quest18</t>
  </si>
  <si>
    <t>Quest19</t>
  </si>
  <si>
    <t>Quest20</t>
  </si>
  <si>
    <t>Quest21</t>
  </si>
  <si>
    <t>Quest22</t>
  </si>
  <si>
    <t>Quest23</t>
  </si>
  <si>
    <t>Quest24</t>
  </si>
  <si>
    <t>Quest25</t>
  </si>
  <si>
    <t>Quest26</t>
  </si>
  <si>
    <t>Quest27</t>
  </si>
  <si>
    <t>Quest28</t>
  </si>
  <si>
    <t>Quest29</t>
  </si>
  <si>
    <t>Quest30</t>
  </si>
  <si>
    <t>Quest31</t>
  </si>
  <si>
    <t>Quest32</t>
  </si>
  <si>
    <t>Quest33</t>
  </si>
  <si>
    <t>Quest34</t>
  </si>
  <si>
    <t>Quest35</t>
  </si>
  <si>
    <t>Not answered</t>
  </si>
  <si>
    <t>Audit No</t>
  </si>
  <si>
    <t>Frequency</t>
  </si>
  <si>
    <t>%</t>
  </si>
  <si>
    <t>Total</t>
  </si>
  <si>
    <t>Male</t>
  </si>
  <si>
    <t>Female</t>
  </si>
  <si>
    <t>Valid Percent</t>
  </si>
  <si>
    <t>Other</t>
  </si>
  <si>
    <t>Quest36</t>
  </si>
  <si>
    <t>Quest37</t>
  </si>
  <si>
    <t>Quest38</t>
  </si>
  <si>
    <t>Quest39</t>
  </si>
  <si>
    <t>Quest40</t>
  </si>
  <si>
    <t>Quest41</t>
  </si>
  <si>
    <t>Quest42</t>
  </si>
  <si>
    <t>Quest43</t>
  </si>
  <si>
    <t>Quest44</t>
  </si>
  <si>
    <t>Quest45</t>
  </si>
  <si>
    <t>Quest46</t>
  </si>
  <si>
    <t>Quest47</t>
  </si>
  <si>
    <t>Quest48</t>
  </si>
  <si>
    <t>Quest49</t>
  </si>
  <si>
    <t>Quest50</t>
  </si>
  <si>
    <t>Quest51</t>
  </si>
  <si>
    <t>Quest52</t>
  </si>
  <si>
    <t>Quest53</t>
  </si>
  <si>
    <t>Quest54</t>
  </si>
  <si>
    <t>Quest55</t>
  </si>
  <si>
    <t>Quest56</t>
  </si>
  <si>
    <t>Quest57</t>
  </si>
  <si>
    <t>Quest58</t>
  </si>
  <si>
    <t>Quest59</t>
  </si>
  <si>
    <t>Quest60</t>
  </si>
  <si>
    <t>Quest61</t>
  </si>
  <si>
    <t>Quest62</t>
  </si>
  <si>
    <t>Quest63</t>
  </si>
  <si>
    <t>Quest64</t>
  </si>
  <si>
    <t>Quest65</t>
  </si>
  <si>
    <t>Quest66</t>
  </si>
  <si>
    <t>Quest67</t>
  </si>
  <si>
    <t>Quest68</t>
  </si>
  <si>
    <t>Quest69</t>
  </si>
  <si>
    <t>Quest70</t>
  </si>
  <si>
    <t>No  in this category who answered survey</t>
  </si>
  <si>
    <t>.</t>
  </si>
  <si>
    <t>• Date of Audit</t>
  </si>
  <si>
    <t>The results page will automatically calculate the statistics for each question, i.e. What % were male and female, what percentage were satisfied with the service. This page is protect so changes can not be made to it.</t>
  </si>
  <si>
    <t>Column35</t>
  </si>
  <si>
    <t>Column36</t>
  </si>
  <si>
    <t>Column37</t>
  </si>
  <si>
    <t>Type out your Question</t>
  </si>
  <si>
    <t>Possible answer 1</t>
  </si>
  <si>
    <t>Possible answer 2</t>
  </si>
  <si>
    <t>Possible answer 3</t>
  </si>
  <si>
    <t>Possible answer 4</t>
  </si>
  <si>
    <t>Possible answer 5</t>
  </si>
  <si>
    <t>Possible answer 6</t>
  </si>
  <si>
    <t>Possible answer 7</t>
  </si>
  <si>
    <t>Possible answer 8</t>
  </si>
  <si>
    <t>Possible answer 9</t>
  </si>
  <si>
    <t>Question35</t>
  </si>
  <si>
    <t>Question36</t>
  </si>
  <si>
    <t>Question37</t>
  </si>
  <si>
    <t>Question38</t>
  </si>
  <si>
    <t>Question39</t>
  </si>
  <si>
    <t>Question40</t>
  </si>
  <si>
    <t>Question41</t>
  </si>
  <si>
    <t>Question42</t>
  </si>
  <si>
    <t>Question43</t>
  </si>
  <si>
    <t>Question44</t>
  </si>
  <si>
    <t>Question45</t>
  </si>
  <si>
    <t>Question46</t>
  </si>
  <si>
    <t>Question47</t>
  </si>
  <si>
    <t>Question48</t>
  </si>
  <si>
    <t>Question49</t>
  </si>
  <si>
    <t>Question50</t>
  </si>
  <si>
    <t>Question51</t>
  </si>
  <si>
    <t>Question52</t>
  </si>
  <si>
    <t>Question53</t>
  </si>
  <si>
    <t>Question54</t>
  </si>
  <si>
    <t>Question55</t>
  </si>
  <si>
    <t>Question56</t>
  </si>
  <si>
    <t>Question57</t>
  </si>
  <si>
    <t>Question58</t>
  </si>
  <si>
    <t>Question59</t>
  </si>
  <si>
    <t>Question60</t>
  </si>
  <si>
    <t>Question61</t>
  </si>
  <si>
    <t>Question62</t>
  </si>
  <si>
    <t>Question63</t>
  </si>
  <si>
    <t>Question64</t>
  </si>
  <si>
    <t>Question65</t>
  </si>
  <si>
    <t>Question66</t>
  </si>
  <si>
    <t>Question67</t>
  </si>
  <si>
    <t>Question68</t>
  </si>
  <si>
    <t>Question69</t>
  </si>
  <si>
    <t>Question70</t>
  </si>
  <si>
    <t>Your gender. Are you?</t>
  </si>
  <si>
    <t>What is your age category?</t>
  </si>
  <si>
    <t>Under 18 years of age</t>
  </si>
  <si>
    <t>18-24yrs</t>
  </si>
  <si>
    <t>25-44yrs</t>
  </si>
  <si>
    <t>45-64yrs</t>
  </si>
  <si>
    <t>65-74yrs</t>
  </si>
  <si>
    <t>75 years +</t>
  </si>
  <si>
    <t>Do you hold any of the following cards?</t>
  </si>
  <si>
    <t>Medical Card</t>
  </si>
  <si>
    <t>GP Visit Card</t>
  </si>
  <si>
    <t>Long-term Illness Card</t>
  </si>
  <si>
    <t>Health Amendment Act Card</t>
  </si>
  <si>
    <t>European Health Insurance Card</t>
  </si>
  <si>
    <t>Drug Payment Scheme Card</t>
  </si>
  <si>
    <t>None of these</t>
  </si>
  <si>
    <t>Please state which of the following applies to you?</t>
  </si>
  <si>
    <t>I did not use an interpreter for my appointment</t>
  </si>
  <si>
    <t>I used a Sign interpreter</t>
  </si>
  <si>
    <t>I used a Language interpreter</t>
  </si>
  <si>
    <t>Please tell us your country of origin.</t>
  </si>
  <si>
    <t>Ireland</t>
  </si>
  <si>
    <t>United Kingdom</t>
  </si>
  <si>
    <t>EU</t>
  </si>
  <si>
    <t>Non-EU</t>
  </si>
  <si>
    <t>Which of the following primary care team services did you attend today?</t>
  </si>
  <si>
    <t>GP</t>
  </si>
  <si>
    <t>Practice Nurse</t>
  </si>
  <si>
    <t>Public Health Nurse or Community Nurse</t>
  </si>
  <si>
    <t>Physiotherapist</t>
  </si>
  <si>
    <t>Occupational Therapist</t>
  </si>
  <si>
    <t>Another service</t>
  </si>
  <si>
    <t>Please tell us about your experience accessing the service today?</t>
  </si>
  <si>
    <t>I had no difficulties accessing the service.</t>
  </si>
  <si>
    <t>The opening times were not suitable.</t>
  </si>
  <si>
    <t>The waiting times for an appointment were too long.</t>
  </si>
  <si>
    <t>The service I needed had not been available within the primary care team until now.</t>
  </si>
  <si>
    <t>I could only get a referral to the service through another service.</t>
  </si>
  <si>
    <t>Other difficulty</t>
  </si>
  <si>
    <t>Where did your appointment take place?</t>
  </si>
  <si>
    <t>Tell us about the suitability of your appointment time?</t>
  </si>
  <si>
    <t>The appointment time given to me was most suitable.</t>
  </si>
  <si>
    <t>I would have preferred an appointment time before 9am.</t>
  </si>
  <si>
    <t>I would have preferred an appointment time from 12pm-1pm.</t>
  </si>
  <si>
    <t>I would have preferred an appointment time from 1pm-2pm.</t>
  </si>
  <si>
    <t>I would have preferred an appointment time after 5pm.</t>
  </si>
  <si>
    <t>How easy was it for you to access and use the building during your visit?</t>
  </si>
  <si>
    <t>Very easy</t>
  </si>
  <si>
    <t>Easy</t>
  </si>
  <si>
    <t>Difficult</t>
  </si>
  <si>
    <t>Very difficult</t>
  </si>
  <si>
    <t>Were the buildings and facilities clean and tidy?</t>
  </si>
  <si>
    <t>Yes</t>
  </si>
  <si>
    <t>No</t>
  </si>
  <si>
    <t>How long did you spend waiting to see the healthcare professional today?</t>
  </si>
  <si>
    <t>Less than 15 minutes</t>
  </si>
  <si>
    <t>15 to 30 minutes</t>
  </si>
  <si>
    <t>31 to 45 minutes</t>
  </si>
  <si>
    <t>Over 45 minutes</t>
  </si>
  <si>
    <t>Did the healthcare professional wash or clean their hands when coming into contact with you?</t>
  </si>
  <si>
    <t>Can't recall</t>
  </si>
  <si>
    <t>Did the healthcare professional introduce themselves to you?</t>
  </si>
  <si>
    <t>Were you treated with kindness and respect during your visit?</t>
  </si>
  <si>
    <t>Were you satisfied with the level of privacy provided to you during your appointment?</t>
  </si>
  <si>
    <t>Was it explained to you that, if relevant to your overall care, we may need to share information
about you with other members of the Primary Care Team?</t>
  </si>
  <si>
    <t>Not sure</t>
  </si>
  <si>
    <t>Was the advice and information provided by the healthcare professional during your
appointment today easy to understand?</t>
  </si>
  <si>
    <t>Not Applicable</t>
  </si>
  <si>
    <t>Did you have enough time during your appointment to ask questions and discuss your health
problems and concerns?</t>
  </si>
  <si>
    <t>Were you involved in making decisions about your care and treatment?</t>
  </si>
  <si>
    <t>Did you receive information or advice on Quitting smoking during your visit today?</t>
  </si>
  <si>
    <t>Did you receive information or advice on Losing weight during your visit today?</t>
  </si>
  <si>
    <t>Did you receive information or advice on Nutrition and healthy eating during your visit today?</t>
  </si>
  <si>
    <t>Did you receive information or advice on Physical activity during your visit today?</t>
  </si>
  <si>
    <t>Did you receive information or advice on Alcohol use during your visit today?</t>
  </si>
  <si>
    <t>Did you receive information or advice on Mental health and wellbeing during your visit today?</t>
  </si>
  <si>
    <t>Did you receive information or advice on Dementia during your visit today?</t>
  </si>
  <si>
    <t>Did you receive information or advice on Falls prevention during your visit today?</t>
  </si>
  <si>
    <t>Did you receive information or advice on Drug use during your visit today?</t>
  </si>
  <si>
    <t>Are there other areas that you would appreciate information or advice on?</t>
  </si>
  <si>
    <t>Overall, how would you rate your experience of your appointment today? Please circle one.</t>
  </si>
  <si>
    <t>Excellent</t>
  </si>
  <si>
    <t>Very Good</t>
  </si>
  <si>
    <t>Good</t>
  </si>
  <si>
    <t xml:space="preserve">Poor </t>
  </si>
  <si>
    <t>Very Poor</t>
  </si>
  <si>
    <t>Are you aware of The National Healthcare Charter, ‘You and Your Health Service’:</t>
  </si>
  <si>
    <t>Are you aware of ‘Your Service Your Say’ (HSE Complaints Process):</t>
  </si>
  <si>
    <t>Primary Care Centre</t>
  </si>
  <si>
    <t>Already known to me</t>
  </si>
  <si>
    <t>Gender</t>
  </si>
  <si>
    <t>Age Category</t>
  </si>
  <si>
    <t>Do you hold any of the following</t>
  </si>
  <si>
    <t>Which Primary Care team</t>
  </si>
  <si>
    <t>CHO Area</t>
  </si>
  <si>
    <t>Data Entry by</t>
  </si>
  <si>
    <t>No in Survey</t>
  </si>
  <si>
    <t>Survey No</t>
  </si>
  <si>
    <t>Profile Q1</t>
  </si>
  <si>
    <t>Profile Q2</t>
  </si>
  <si>
    <t>Profile Q3</t>
  </si>
  <si>
    <t>Profile Q4</t>
  </si>
  <si>
    <t>Profile Q5</t>
  </si>
  <si>
    <t>Question1</t>
  </si>
  <si>
    <t>Question2</t>
  </si>
  <si>
    <t>Question3</t>
  </si>
  <si>
    <t>Question4</t>
  </si>
  <si>
    <t>Question5</t>
  </si>
  <si>
    <t>Question6</t>
  </si>
  <si>
    <t>Question7</t>
  </si>
  <si>
    <t>Question8</t>
  </si>
  <si>
    <t>Question9</t>
  </si>
  <si>
    <t>Question10</t>
  </si>
  <si>
    <t>Question11</t>
  </si>
  <si>
    <t>Question12</t>
  </si>
  <si>
    <t>Question13</t>
  </si>
  <si>
    <t>Question14</t>
  </si>
  <si>
    <t>Question15</t>
  </si>
  <si>
    <t>Question16a</t>
  </si>
  <si>
    <t>Question16b</t>
  </si>
  <si>
    <t>Question16c</t>
  </si>
  <si>
    <t>Question16d</t>
  </si>
  <si>
    <t>Question16e</t>
  </si>
  <si>
    <t>Question16f</t>
  </si>
  <si>
    <t>Question16g</t>
  </si>
  <si>
    <t>Question16h</t>
  </si>
  <si>
    <t>Question16i</t>
  </si>
  <si>
    <t>Question16j</t>
  </si>
  <si>
    <t>Question17</t>
  </si>
  <si>
    <t>Question18</t>
  </si>
  <si>
    <t>Question19a</t>
  </si>
  <si>
    <t>Question19b</t>
  </si>
  <si>
    <t>• Survey name</t>
  </si>
  <si>
    <t>• CHO Area Name</t>
  </si>
  <si>
    <t>• Primary Care Centre</t>
  </si>
  <si>
    <t>• Data entry by</t>
  </si>
  <si>
    <t>The survey name, CHO area name, Primary Care centre, Data entry by, date of survey and No in survey will automatically appear on the Results tab (page) and the Recommendations tab(page) and the comments tab(page)</t>
  </si>
  <si>
    <t>In the survey tool tab fill in the following in the space provided:</t>
  </si>
  <si>
    <t>2 or more of the above cards</t>
  </si>
  <si>
    <t>Profile Q5: Other Country</t>
  </si>
  <si>
    <t>Profile Q3: Do you hold any of the following cards</t>
  </si>
  <si>
    <t>Profile Q3 : Do you have any of the following cards</t>
  </si>
  <si>
    <t>Where more than one box has been ticked - select 2 or more of the above cards and then go to the comments tab and type out which cards were ticked</t>
  </si>
  <si>
    <t>Profile Q5 : Please tell us your country of origin</t>
  </si>
  <si>
    <t>Where other has been selected go to the comments tab and type in the name of the other country</t>
  </si>
  <si>
    <t>Attended more than one service</t>
  </si>
  <si>
    <t>Question1 : Which of the following primary care team services did you attend today?</t>
  </si>
  <si>
    <t>Where another service has been selected go to the comments tab and type in the name of the other service, where more than one service was selected select more than one service from the dropdown box and then type the names of the service in the comments tab</t>
  </si>
  <si>
    <t>Question 1: Other Service or more than one service</t>
  </si>
  <si>
    <t>Question2 : Please tell us about your experience accessing the service today?</t>
  </si>
  <si>
    <t>Where other difficulty has been selected go to the comments tab and type in the name of the other difficulty, where more than one difficulty was selected, select more than one difficulty from the dropdown box and then type all the difficulties into the comments tab</t>
  </si>
  <si>
    <t>More than one difficulty</t>
  </si>
  <si>
    <t>Every question must have an entry so if the service user left the question blank, select not answered as the response</t>
  </si>
  <si>
    <t>To enter data the down down box must be used initially. After all the possible answers have been entered once you can then type first letters (eg it will recognise m as male under gender, f as female etc). You cannot enter something that does not appear in the drop down box</t>
  </si>
  <si>
    <t>For any question where other was given as an answer and then the service user wrote down what the other was (e.g other location, other difficulty) - go to the comments section and type in the what the service user recorded as other</t>
  </si>
  <si>
    <t>Question 2: Other Difficulty or more than one difficulty</t>
  </si>
  <si>
    <t>N/A</t>
  </si>
  <si>
    <t>Did you receive other information or advice during your visit today?</t>
  </si>
  <si>
    <t>Question 17: What was the other Information you would appreciate</t>
  </si>
  <si>
    <t xml:space="preserve">Also fill in the number in the survey in the yellow box. If 10 people complete the survey type in 10, if 20 people complete the survey fill in 20 etc in the yellow box. This number can be changed if you enter more surveys </t>
  </si>
  <si>
    <t>Question 3 : Where did your appointment take place?</t>
  </si>
  <si>
    <t>Where other location  has been selected go to the comments tab and type in the other location</t>
  </si>
  <si>
    <t>Question 17 : Are there other areas that you would appreciate information or advice on?</t>
  </si>
  <si>
    <t>Where the service user has indicated that they would like information on other areas go to the comments tab and type what the area is</t>
  </si>
  <si>
    <t>Question 20: If you wish to comment further on any of your answers to the questions above, or if you have any comments or suggestions on how the primary care team could improve their service to you please comment here:</t>
  </si>
  <si>
    <t>Go to the comments section and type out the comment</t>
  </si>
  <si>
    <t>Comment tab</t>
  </si>
  <si>
    <t>The comments tab has been set up to record comments, other responses or where two or more boxes have been ticked. These question have been set up for 10 respsonses, if more services users give comments or other answers add in rows to the comments tab. Highlight the row where you want to insert a row, right click and hit insert</t>
  </si>
  <si>
    <t>Age category</t>
  </si>
  <si>
    <t>Holder of Health cards</t>
  </si>
  <si>
    <t>Use of Interpreter Services</t>
  </si>
  <si>
    <t>Patients Country of Origin.</t>
  </si>
  <si>
    <t>Primary Care Team services attended on day of survey</t>
  </si>
  <si>
    <t>Patient's experience of accessing the service</t>
  </si>
  <si>
    <t>Place of patient's appointment</t>
  </si>
  <si>
    <t>Suitability of appointment time</t>
  </si>
  <si>
    <t>Ease of access and use of the building during visit</t>
  </si>
  <si>
    <t>Buildings and facilities cleanliness and tidiness</t>
  </si>
  <si>
    <t>Time waiting to see the healthcare professional on day of survey</t>
  </si>
  <si>
    <t>Healthcare professional washed or cleaned their hands prior to patient contact</t>
  </si>
  <si>
    <t>Healthcare professional introduced themselves to patient</t>
  </si>
  <si>
    <t>Patient felt treated with kindness and respect during visit</t>
  </si>
  <si>
    <t>Satisfaction with the level of privacy provided during appointment</t>
  </si>
  <si>
    <t>It was explained that, if relevant to overall care, patients information may be shared with other PCT members
about you with other members of the Primary Care Team?</t>
  </si>
  <si>
    <t>Advice and information provided during appointment was easy to understand</t>
  </si>
  <si>
    <t>Enough time provided during appointment to ask questions and discuss your health problems and concerns</t>
  </si>
  <si>
    <t>Information or advice received on Quitting smoking during your visit</t>
  </si>
  <si>
    <t>Information or advice received  on Losing weight during your visit today</t>
  </si>
  <si>
    <t>Information or advice received  on Nutrition and healthy eating during your visit</t>
  </si>
  <si>
    <t>Information or advice received on Physical activity during your visit today</t>
  </si>
  <si>
    <t>Information or advice received on Dementia during your visit</t>
  </si>
  <si>
    <t>Information or advice received Mental health and wellbeing during your visit</t>
  </si>
  <si>
    <t xml:space="preserve">Information or advice received on Alcohol use during your visit </t>
  </si>
  <si>
    <t>Information or advice received on Falls prevention during your visit</t>
  </si>
  <si>
    <t>Information or advice received on Drug use during your visit</t>
  </si>
  <si>
    <t>Information or advice received on Other issues during your visit today</t>
  </si>
  <si>
    <t>Patient highlighted other areas for information or advice</t>
  </si>
  <si>
    <t>Overall patient rating of their appointment on day of survey</t>
  </si>
  <si>
    <t>Patient awareness of The National Healthcare Charter, ‘You and Your Health Service’</t>
  </si>
  <si>
    <t>Patient awareness of ‘Your Service Your Say’ (HSE Complaints Process)</t>
  </si>
  <si>
    <t>The following tab have been created: 
Search By Gender, 
Search by Age, 
Search by Health Card, 
Search by PCT,
in each of these tabs you can choose certain conditions and then show the results specific for those conditions. In Serch by gender in cell B7 you can use the dropdown box to select either male or female and then the results for all the male participants or the female participants will be shown. Under search by health card you can choose to show the results for medical patients, GP card patients or patients who do not hold any health cards</t>
  </si>
  <si>
    <t>QIP status</t>
  </si>
  <si>
    <t>% Complete</t>
  </si>
  <si>
    <t>% Not due</t>
  </si>
  <si>
    <t>% Overdue</t>
  </si>
  <si>
    <t>Date Survey results reviewed by PCT Management Team / QPS committee</t>
  </si>
  <si>
    <t>Area of Improvement Prioritised</t>
  </si>
  <si>
    <t>Action agreed</t>
  </si>
  <si>
    <t>Responsible Person</t>
  </si>
  <si>
    <t>Due 
Date</t>
  </si>
  <si>
    <t xml:space="preserve">Completed Date  </t>
  </si>
  <si>
    <t>Action Status</t>
  </si>
  <si>
    <t>Review Date</t>
  </si>
  <si>
    <t>Progress / Update</t>
  </si>
  <si>
    <t>Survey of Patient Experience 2017</t>
  </si>
  <si>
    <t>Date of Survey</t>
  </si>
  <si>
    <t>Question 3 : What was the other location</t>
  </si>
  <si>
    <t>Question 16j: What was the other Information you received</t>
  </si>
  <si>
    <t>SLT</t>
  </si>
  <si>
    <t>Dentist</t>
  </si>
  <si>
    <t>Dental Hygienist/ Nurse</t>
  </si>
  <si>
    <t>Podiatrist/ Chiropodist</t>
  </si>
  <si>
    <t>Dietician</t>
  </si>
  <si>
    <t>Psychology</t>
  </si>
  <si>
    <t>Orthodontic</t>
  </si>
  <si>
    <t>Social Work</t>
  </si>
  <si>
    <t>Audiology</t>
  </si>
  <si>
    <t>Ophthalmic</t>
  </si>
  <si>
    <t>Another location</t>
  </si>
  <si>
    <t>Patient's Home</t>
  </si>
  <si>
    <t>Primary Care Health Centre</t>
  </si>
  <si>
    <t>GP Surgery</t>
  </si>
</sst>
</file>

<file path=xl/styles.xml><?xml version="1.0" encoding="utf-8"?>
<styleSheet xmlns="http://schemas.openxmlformats.org/spreadsheetml/2006/main">
  <numFmts count="1">
    <numFmt numFmtId="164" formatCode="0.0"/>
  </numFmts>
  <fonts count="8">
    <font>
      <sz val="11"/>
      <color theme="1"/>
      <name val="Calibri"/>
      <family val="2"/>
      <scheme val="minor"/>
    </font>
    <font>
      <b/>
      <sz val="11"/>
      <color theme="1"/>
      <name val="Calibri"/>
      <family val="2"/>
      <scheme val="minor"/>
    </font>
    <font>
      <sz val="10"/>
      <name val="Arial"/>
      <family val="2"/>
    </font>
    <font>
      <b/>
      <sz val="9"/>
      <name val="Arial"/>
      <family val="2"/>
    </font>
    <font>
      <sz val="9"/>
      <name val="Arial"/>
      <family val="2"/>
    </font>
    <font>
      <b/>
      <sz val="11"/>
      <color rgb="FF1F497D"/>
      <name val="Calibri"/>
      <family val="2"/>
      <scheme val="minor"/>
    </font>
    <font>
      <b/>
      <sz val="11"/>
      <color theme="0"/>
      <name val="Calibri"/>
      <family val="2"/>
      <scheme val="minor"/>
    </font>
    <font>
      <sz val="11"/>
      <color theme="1"/>
      <name val="Calibri"/>
      <scheme val="minor"/>
    </font>
  </fonts>
  <fills count="5">
    <fill>
      <patternFill patternType="none"/>
    </fill>
    <fill>
      <patternFill patternType="gray125"/>
    </fill>
    <fill>
      <patternFill patternType="solid">
        <fgColor rgb="FF99CC00"/>
        <bgColor indexed="64"/>
      </patternFill>
    </fill>
    <fill>
      <patternFill patternType="solid">
        <fgColor rgb="FFFFFF00"/>
        <bgColor indexed="64"/>
      </patternFill>
    </fill>
    <fill>
      <patternFill patternType="solid">
        <fgColor rgb="FF92D05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0"/>
      </right>
      <top/>
      <bottom style="thin">
        <color theme="0"/>
      </bottom>
      <diagonal/>
    </border>
    <border>
      <left style="thin">
        <color theme="0"/>
      </left>
      <right style="thin">
        <color theme="0"/>
      </right>
      <top/>
      <bottom style="thick">
        <color theme="0"/>
      </bottom>
      <diagonal/>
    </border>
    <border>
      <left style="thin">
        <color theme="0"/>
      </left>
      <right/>
      <top/>
      <bottom style="thick">
        <color theme="0"/>
      </bottom>
      <diagonal/>
    </border>
  </borders>
  <cellStyleXfs count="1">
    <xf numFmtId="0" fontId="0" fillId="0" borderId="0"/>
  </cellStyleXfs>
  <cellXfs count="62">
    <xf numFmtId="0" fontId="0" fillId="0" borderId="0" xfId="0"/>
    <xf numFmtId="0" fontId="0" fillId="0" borderId="0" xfId="0" applyAlignment="1">
      <alignment wrapText="1"/>
    </xf>
    <xf numFmtId="0" fontId="0" fillId="0" borderId="0" xfId="0" applyBorder="1" applyAlignment="1">
      <alignment wrapText="1"/>
    </xf>
    <xf numFmtId="0" fontId="1" fillId="0" borderId="1" xfId="0" applyFont="1" applyBorder="1"/>
    <xf numFmtId="0" fontId="1" fillId="0" borderId="1" xfId="0" applyFont="1" applyBorder="1" applyAlignment="1">
      <alignment wrapText="1"/>
    </xf>
    <xf numFmtId="0" fontId="1" fillId="2" borderId="2" xfId="0" applyFont="1" applyFill="1" applyBorder="1" applyAlignment="1">
      <alignment horizontal="center"/>
    </xf>
    <xf numFmtId="0" fontId="1" fillId="2" borderId="2" xfId="0" applyFont="1" applyFill="1" applyBorder="1" applyAlignment="1">
      <alignment horizontal="center" wrapText="1"/>
    </xf>
    <xf numFmtId="0" fontId="1" fillId="0" borderId="1" xfId="0" applyFont="1" applyBorder="1" applyAlignment="1">
      <alignment horizontal="center" wrapText="1"/>
    </xf>
    <xf numFmtId="0" fontId="0" fillId="0" borderId="0" xfId="0" applyBorder="1"/>
    <xf numFmtId="0" fontId="2" fillId="0" borderId="0" xfId="0" applyFont="1" applyAlignment="1">
      <alignment wrapText="1"/>
    </xf>
    <xf numFmtId="0" fontId="1" fillId="0" borderId="1" xfId="0" applyFont="1" applyBorder="1" applyAlignment="1">
      <alignment horizontal="center" wrapText="1"/>
    </xf>
    <xf numFmtId="0" fontId="1" fillId="0" borderId="1" xfId="0" applyFont="1" applyBorder="1" applyAlignment="1">
      <alignment horizontal="center" wrapText="1"/>
    </xf>
    <xf numFmtId="0" fontId="1" fillId="3" borderId="1" xfId="0" applyFont="1" applyFill="1" applyBorder="1" applyAlignment="1">
      <alignment horizontal="center" wrapText="1"/>
    </xf>
    <xf numFmtId="0" fontId="0" fillId="0" borderId="0" xfId="0" applyProtection="1">
      <protection hidden="1"/>
    </xf>
    <xf numFmtId="0" fontId="1" fillId="0" borderId="1" xfId="0" applyFont="1" applyBorder="1" applyAlignment="1" applyProtection="1">
      <alignment wrapText="1"/>
      <protection hidden="1"/>
    </xf>
    <xf numFmtId="0" fontId="0" fillId="0" borderId="1" xfId="0" applyBorder="1" applyAlignment="1" applyProtection="1">
      <alignment wrapText="1"/>
      <protection hidden="1"/>
    </xf>
    <xf numFmtId="0" fontId="0" fillId="0" borderId="1" xfId="0" applyBorder="1" applyProtection="1">
      <protection hidden="1"/>
    </xf>
    <xf numFmtId="164" fontId="0" fillId="0" borderId="1" xfId="0" applyNumberFormat="1" applyBorder="1" applyProtection="1">
      <protection hidden="1"/>
    </xf>
    <xf numFmtId="0" fontId="0" fillId="0" borderId="0" xfId="0" applyAlignment="1" applyProtection="1">
      <alignment wrapText="1"/>
      <protection hidden="1"/>
    </xf>
    <xf numFmtId="0" fontId="0" fillId="0" borderId="0" xfId="0" applyBorder="1" applyAlignment="1" applyProtection="1">
      <alignment wrapText="1"/>
      <protection hidden="1"/>
    </xf>
    <xf numFmtId="0" fontId="0" fillId="0" borderId="0" xfId="0" applyBorder="1" applyProtection="1">
      <protection hidden="1"/>
    </xf>
    <xf numFmtId="164" fontId="0" fillId="0" borderId="0" xfId="0" applyNumberFormat="1" applyBorder="1" applyProtection="1">
      <protection hidden="1"/>
    </xf>
    <xf numFmtId="164" fontId="0" fillId="0" borderId="0" xfId="0" applyNumberFormat="1" applyProtection="1">
      <protection hidden="1"/>
    </xf>
    <xf numFmtId="164" fontId="0" fillId="0" borderId="0" xfId="0" applyNumberFormat="1" applyAlignment="1" applyProtection="1">
      <alignment wrapText="1"/>
      <protection hidden="1"/>
    </xf>
    <xf numFmtId="0" fontId="0" fillId="0" borderId="0" xfId="0" applyProtection="1">
      <protection locked="0"/>
    </xf>
    <xf numFmtId="0" fontId="1" fillId="0" borderId="1" xfId="0" applyFont="1" applyBorder="1" applyAlignment="1" applyProtection="1">
      <alignment wrapText="1"/>
      <protection locked="0"/>
    </xf>
    <xf numFmtId="0" fontId="0" fillId="0" borderId="0" xfId="0" applyAlignment="1" applyProtection="1">
      <alignment wrapText="1"/>
      <protection locked="0"/>
    </xf>
    <xf numFmtId="164" fontId="0" fillId="0" borderId="0" xfId="0" applyNumberFormat="1" applyProtection="1">
      <protection locked="0"/>
    </xf>
    <xf numFmtId="0" fontId="0" fillId="0" borderId="1" xfId="0" applyFont="1" applyBorder="1" applyAlignment="1">
      <alignment horizontal="center" wrapText="1"/>
    </xf>
    <xf numFmtId="0" fontId="0" fillId="0" borderId="0" xfId="0" applyBorder="1" applyAlignment="1"/>
    <xf numFmtId="0" fontId="3" fillId="0" borderId="0" xfId="0" applyFont="1" applyFill="1" applyBorder="1" applyAlignment="1"/>
    <xf numFmtId="0" fontId="4" fillId="0" borderId="0" xfId="0" applyFont="1" applyFill="1" applyBorder="1"/>
    <xf numFmtId="0" fontId="0" fillId="0" borderId="1" xfId="0" applyBorder="1" applyAlignment="1"/>
    <xf numFmtId="0" fontId="3" fillId="0" borderId="1" xfId="0" applyFont="1" applyFill="1" applyBorder="1" applyAlignment="1"/>
    <xf numFmtId="0" fontId="0" fillId="0" borderId="1" xfId="0" applyFill="1" applyBorder="1" applyAlignment="1"/>
    <xf numFmtId="0" fontId="3" fillId="0" borderId="0" xfId="0" applyFont="1" applyFill="1" applyBorder="1"/>
    <xf numFmtId="0" fontId="1" fillId="4" borderId="1" xfId="0" applyFont="1" applyFill="1" applyBorder="1" applyAlignment="1">
      <alignment horizontal="center" wrapText="1"/>
    </xf>
    <xf numFmtId="0" fontId="0" fillId="0" borderId="1" xfId="0" applyBorder="1" applyAlignment="1">
      <alignment wrapText="1"/>
    </xf>
    <xf numFmtId="0" fontId="5" fillId="0" borderId="0" xfId="0" applyFont="1"/>
    <xf numFmtId="0" fontId="0" fillId="0" borderId="0" xfId="0" applyFill="1" applyAlignment="1">
      <alignment wrapText="1"/>
    </xf>
    <xf numFmtId="0" fontId="0" fillId="0" borderId="6" xfId="0" applyFont="1" applyFill="1" applyBorder="1" applyAlignment="1">
      <alignment wrapText="1"/>
    </xf>
    <xf numFmtId="0" fontId="0" fillId="0" borderId="0" xfId="0" applyFont="1" applyFill="1" applyBorder="1" applyAlignment="1">
      <alignment wrapText="1"/>
    </xf>
    <xf numFmtId="0" fontId="0" fillId="0" borderId="0" xfId="0" applyFont="1" applyFill="1" applyBorder="1"/>
    <xf numFmtId="0" fontId="7" fillId="0" borderId="0" xfId="0" applyFont="1" applyAlignment="1">
      <alignment wrapText="1"/>
    </xf>
    <xf numFmtId="0" fontId="6" fillId="0" borderId="7" xfId="0" applyFont="1" applyFill="1" applyBorder="1" applyAlignment="1">
      <alignment wrapText="1"/>
    </xf>
    <xf numFmtId="0" fontId="6" fillId="0" borderId="8" xfId="0" applyFont="1" applyFill="1" applyBorder="1" applyAlignment="1">
      <alignment wrapText="1"/>
    </xf>
    <xf numFmtId="0" fontId="1" fillId="2" borderId="0" xfId="0" applyFont="1" applyFill="1" applyBorder="1" applyAlignment="1">
      <alignment horizontal="center" wrapText="1"/>
    </xf>
    <xf numFmtId="0" fontId="1" fillId="0" borderId="3" xfId="0" applyFont="1" applyBorder="1" applyAlignment="1" applyProtection="1">
      <alignment horizontal="center" wrapText="1"/>
      <protection hidden="1"/>
    </xf>
    <xf numFmtId="0" fontId="1" fillId="0" borderId="4" xfId="0" applyFont="1" applyBorder="1" applyAlignment="1" applyProtection="1">
      <alignment horizontal="center" wrapText="1"/>
      <protection hidden="1"/>
    </xf>
    <xf numFmtId="0" fontId="0" fillId="0" borderId="5" xfId="0" applyBorder="1" applyAlignment="1" applyProtection="1">
      <protection hidden="1"/>
    </xf>
    <xf numFmtId="0" fontId="1" fillId="0" borderId="1" xfId="0" applyFont="1" applyBorder="1" applyAlignment="1" applyProtection="1">
      <alignment horizontal="center" wrapText="1"/>
      <protection hidden="1"/>
    </xf>
    <xf numFmtId="0" fontId="0" fillId="0" borderId="1" xfId="0" applyBorder="1" applyAlignment="1" applyProtection="1">
      <protection hidden="1"/>
    </xf>
    <xf numFmtId="0" fontId="0" fillId="0" borderId="5" xfId="0" applyBorder="1" applyAlignment="1" applyProtection="1">
      <alignment wrapText="1"/>
      <protection hidden="1"/>
    </xf>
    <xf numFmtId="0" fontId="1" fillId="0" borderId="1" xfId="0" applyFont="1" applyBorder="1" applyAlignment="1" applyProtection="1">
      <alignment horizontal="center"/>
      <protection hidden="1"/>
    </xf>
    <xf numFmtId="0" fontId="1" fillId="0" borderId="3" xfId="0" applyFont="1" applyBorder="1" applyAlignment="1" applyProtection="1">
      <alignment horizontal="center"/>
      <protection hidden="1"/>
    </xf>
    <xf numFmtId="0" fontId="1" fillId="0" borderId="4" xfId="0" applyFont="1" applyBorder="1" applyAlignment="1" applyProtection="1">
      <alignment horizontal="center"/>
      <protection hidden="1"/>
    </xf>
    <xf numFmtId="0" fontId="1" fillId="2" borderId="0" xfId="0" applyFont="1" applyFill="1" applyBorder="1" applyAlignment="1" applyProtection="1">
      <alignment horizontal="center"/>
      <protection hidden="1"/>
    </xf>
    <xf numFmtId="0" fontId="0" fillId="0" borderId="0" xfId="0" applyAlignment="1" applyProtection="1">
      <protection hidden="1"/>
    </xf>
    <xf numFmtId="0" fontId="1" fillId="4" borderId="3" xfId="0" applyFont="1" applyFill="1" applyBorder="1" applyAlignment="1">
      <alignment horizontal="center"/>
    </xf>
    <xf numFmtId="0" fontId="1" fillId="4" borderId="5" xfId="0" applyFont="1" applyFill="1" applyBorder="1" applyAlignment="1">
      <alignment horizontal="center"/>
    </xf>
    <xf numFmtId="0" fontId="1" fillId="0" borderId="1" xfId="0" applyFont="1" applyBorder="1" applyAlignment="1" applyProtection="1">
      <alignment horizontal="center"/>
      <protection locked="0"/>
    </xf>
    <xf numFmtId="0" fontId="0" fillId="0" borderId="1" xfId="0" applyBorder="1" applyAlignment="1" applyProtection="1">
      <protection locked="0"/>
    </xf>
  </cellXfs>
  <cellStyles count="1">
    <cellStyle name="Normal" xfId="0" builtinId="0"/>
  </cellStyles>
  <dxfs count="142">
    <dxf>
      <alignment horizontal="general" vertical="bottom" textRotation="0" wrapText="1" indent="0" relativeIndent="255" justifyLastLine="0" shrinkToFit="0" readingOrder="0"/>
    </dxf>
    <dxf>
      <alignment horizontal="general" vertical="bottom" textRotation="0" wrapText="1" indent="0" relativeIndent="255" justifyLastLine="0" shrinkToFit="0" readingOrder="0"/>
    </dxf>
    <dxf>
      <alignment horizontal="general" vertical="bottom" textRotation="0" wrapText="1" indent="0" relativeIndent="255" justifyLastLine="0" shrinkToFit="0" readingOrder="0"/>
    </dxf>
    <dxf>
      <alignment horizontal="general" vertical="bottom" textRotation="0" wrapText="1" indent="0" relativeIndent="255" justifyLastLine="0" shrinkToFit="0" readingOrder="0"/>
    </dxf>
    <dxf>
      <alignment horizontal="general" vertical="bottom" textRotation="0" wrapText="1" indent="0" relativeIndent="255" justifyLastLine="0" shrinkToFit="0" readingOrder="0"/>
    </dxf>
    <dxf>
      <alignment horizontal="general" vertical="bottom" textRotation="0" wrapText="1" indent="0" relativeIndent="255" justifyLastLine="0" shrinkToFit="0" readingOrder="0"/>
    </dxf>
    <dxf>
      <alignment horizontal="general" vertical="bottom" textRotation="0" wrapText="1" indent="0" relativeIndent="255" justifyLastLine="0" shrinkToFit="0" readingOrder="0"/>
    </dxf>
    <dxf>
      <alignment horizontal="general" vertical="bottom" textRotation="0" wrapText="1" indent="0" relativeIndent="255" justifyLastLine="0" shrinkToFit="0" readingOrder="0"/>
    </dxf>
    <dxf>
      <alignment horizontal="general" vertical="bottom" textRotation="0" wrapText="1" indent="0" relativeIndent="255" justifyLastLine="0" shrinkToFit="0" readingOrder="0"/>
    </dxf>
    <dxf>
      <alignment horizontal="general" vertical="bottom" textRotation="0" wrapText="1" indent="0" relativeIndent="255" justifyLastLine="0" shrinkToFit="0" readingOrder="0"/>
    </dxf>
    <dxf>
      <alignment horizontal="general" vertical="bottom" textRotation="0" wrapText="1" indent="0" relativeIndent="255" justifyLastLine="0" shrinkToFit="0" readingOrder="0"/>
    </dxf>
    <dxf>
      <alignment horizontal="general" vertical="bottom" textRotation="0" wrapText="1" indent="0" relativeIndent="255" justifyLastLine="0" shrinkToFit="0" readingOrder="0"/>
    </dxf>
    <dxf>
      <alignment horizontal="general" vertical="bottom" textRotation="0" wrapText="1" indent="0" relativeIndent="255" justifyLastLine="0" shrinkToFit="0" readingOrder="0"/>
    </dxf>
    <dxf>
      <alignment horizontal="general" vertical="bottom" textRotation="0" wrapText="1" indent="0" relativeIndent="255" justifyLastLine="0" shrinkToFit="0" readingOrder="0"/>
    </dxf>
    <dxf>
      <alignment horizontal="general" vertical="bottom" textRotation="0" wrapText="1" indent="0" relativeIndent="255" justifyLastLine="0" shrinkToFit="0" readingOrder="0"/>
    </dxf>
    <dxf>
      <alignment horizontal="general" vertical="bottom" textRotation="0" wrapText="1" indent="0" relativeIndent="255" justifyLastLine="0" shrinkToFit="0" readingOrder="0"/>
    </dxf>
    <dxf>
      <alignment horizontal="general" vertical="bottom" textRotation="0" wrapText="1" indent="0" relativeIndent="255" justifyLastLine="0" shrinkToFit="0" readingOrder="0"/>
    </dxf>
    <dxf>
      <alignment horizontal="general" vertical="bottom" textRotation="0" wrapText="1" indent="0" relativeIndent="255" justifyLastLine="0" shrinkToFit="0" readingOrder="0"/>
    </dxf>
    <dxf>
      <alignment horizontal="general" vertical="bottom" textRotation="0" wrapText="1" indent="0" relativeIndent="255" justifyLastLine="0" shrinkToFit="0" readingOrder="0"/>
    </dxf>
    <dxf>
      <alignment horizontal="general" vertical="bottom" textRotation="0" wrapText="1" indent="0" relativeIndent="255" justifyLastLine="0" shrinkToFit="0" readingOrder="0"/>
    </dxf>
    <dxf>
      <alignment horizontal="general" vertical="bottom" textRotation="0" wrapText="1" indent="0" relativeIndent="255" justifyLastLine="0" shrinkToFit="0" readingOrder="0"/>
    </dxf>
    <dxf>
      <alignment horizontal="general" vertical="bottom" textRotation="0" wrapText="1" indent="0" relativeIndent="255" justifyLastLine="0" shrinkToFit="0" readingOrder="0"/>
    </dxf>
    <dxf>
      <alignment horizontal="general" vertical="bottom" textRotation="0" wrapText="1" indent="0" relativeIndent="255" justifyLastLine="0" shrinkToFit="0" readingOrder="0"/>
    </dxf>
    <dxf>
      <alignment horizontal="general" vertical="bottom" textRotation="0" wrapText="1" indent="0" relativeIndent="255" justifyLastLine="0" shrinkToFit="0" readingOrder="0"/>
    </dxf>
    <dxf>
      <alignment horizontal="general" vertical="bottom" textRotation="0" wrapText="1" indent="0" relativeIndent="255" justifyLastLine="0" shrinkToFit="0" readingOrder="0"/>
    </dxf>
    <dxf>
      <alignment horizontal="general" vertical="bottom" textRotation="0" wrapText="1" indent="0" relativeIndent="255" justifyLastLine="0" shrinkToFit="0" readingOrder="0"/>
    </dxf>
    <dxf>
      <alignment horizontal="general" vertical="bottom" textRotation="0" wrapText="1" indent="0" relativeIndent="255" justifyLastLine="0" shrinkToFit="0" readingOrder="0"/>
    </dxf>
    <dxf>
      <alignment horizontal="general" vertical="bottom" textRotation="0" wrapText="1" indent="0" relativeIndent="255" justifyLastLine="0" shrinkToFit="0" readingOrder="0"/>
    </dxf>
    <dxf>
      <alignment horizontal="general" vertical="bottom" textRotation="0" wrapText="1" indent="0" relativeIndent="255" justifyLastLine="0" shrinkToFit="0" readingOrder="0"/>
    </dxf>
    <dxf>
      <alignment horizontal="general" vertical="bottom" textRotation="0" wrapText="1" indent="0" relativeIndent="255" justifyLastLine="0" shrinkToFit="0" readingOrder="0"/>
    </dxf>
    <dxf>
      <alignment horizontal="general" vertical="bottom" textRotation="0" wrapText="1" indent="0" relativeIndent="255" justifyLastLine="0" shrinkToFit="0" readingOrder="0"/>
    </dxf>
    <dxf>
      <alignment horizontal="general" vertical="bottom" textRotation="0" wrapText="1" indent="0" relativeIndent="255" justifyLastLine="0" shrinkToFit="0" readingOrder="0"/>
    </dxf>
    <dxf>
      <alignment horizontal="general" vertical="bottom" textRotation="0" wrapText="1" indent="0" relativeIndent="255" justifyLastLine="0" shrinkToFit="0" readingOrder="0"/>
    </dxf>
    <dxf>
      <alignment horizontal="general" vertical="bottom" textRotation="0" wrapText="1" indent="0" relativeIndent="255" justifyLastLine="0" shrinkToFit="0" readingOrder="0"/>
    </dxf>
    <dxf>
      <alignment horizontal="general" vertical="bottom" textRotation="0" wrapText="1" indent="0" relativeIndent="255" justifyLastLine="0" shrinkToFit="0" readingOrder="0"/>
    </dxf>
    <dxf>
      <alignment horizontal="general" vertical="bottom" textRotation="0" wrapText="1" indent="0" relativeIndent="255" justifyLastLine="0" shrinkToFit="0" readingOrder="0"/>
    </dxf>
    <dxf>
      <alignment horizontal="general" vertical="bottom" textRotation="0" wrapText="1" indent="0" relativeIndent="255" justifyLastLine="0" shrinkToFit="0" readingOrder="0"/>
    </dxf>
    <dxf>
      <alignment horizontal="general" vertical="bottom" textRotation="0" wrapText="1" indent="0" relativeIndent="255" justifyLastLine="0" shrinkToFit="0" readingOrder="0"/>
    </dxf>
    <dxf>
      <alignment horizontal="general" vertical="bottom" textRotation="0" wrapText="1" indent="0" relativeIndent="255" justifyLastLine="0" shrinkToFit="0" readingOrder="0"/>
    </dxf>
    <dxf>
      <alignment horizontal="general" vertical="bottom" textRotation="0" wrapText="1" indent="0" relativeIndent="255" justifyLastLine="0" shrinkToFit="0" readingOrder="0"/>
    </dxf>
    <dxf>
      <alignment horizontal="general" vertical="bottom" textRotation="0" wrapText="1" indent="0" relativeIndent="255" justifyLastLine="0" shrinkToFit="0" readingOrder="0"/>
    </dxf>
    <dxf>
      <alignment horizontal="general" vertical="bottom" textRotation="0" wrapText="1" indent="0" relativeIndent="255" justifyLastLine="0" shrinkToFit="0" readingOrder="0"/>
    </dxf>
    <dxf>
      <alignment horizontal="general" vertical="bottom" textRotation="0" wrapText="1" indent="0" relativeIndent="255" justifyLastLine="0" shrinkToFit="0" readingOrder="0"/>
    </dxf>
    <dxf>
      <alignment horizontal="general" vertical="bottom" textRotation="0" wrapText="1" indent="0" relativeIndent="255" justifyLastLine="0" shrinkToFit="0" readingOrder="0"/>
    </dxf>
    <dxf>
      <alignment horizontal="general" vertical="bottom" textRotation="0" wrapText="1" indent="0" relativeIndent="255" justifyLastLine="0" shrinkToFit="0" readingOrder="0"/>
    </dxf>
    <dxf>
      <alignment horizontal="general" vertical="bottom" textRotation="0" wrapText="1" indent="0" relativeIndent="255" justifyLastLine="0" shrinkToFit="0" readingOrder="0"/>
    </dxf>
    <dxf>
      <alignment horizontal="general" vertical="bottom" textRotation="0" wrapText="1" indent="0" relativeIndent="255" justifyLastLine="0" shrinkToFit="0" readingOrder="0"/>
    </dxf>
    <dxf>
      <alignment horizontal="general" vertical="bottom" textRotation="0" wrapText="1" indent="0" relativeIndent="255" justifyLastLine="0" shrinkToFit="0" readingOrder="0"/>
    </dxf>
    <dxf>
      <alignment vertical="bottom" textRotation="0" wrapText="1" justifyLastLine="0" shrinkToFit="0" readingOrder="0"/>
    </dxf>
    <dxf>
      <alignment horizontal="general" vertical="bottom" textRotation="0" wrapText="1" indent="0" relativeIndent="255" justifyLastLine="0" shrinkToFit="0" readingOrder="0"/>
    </dxf>
    <dxf>
      <alignment vertical="bottom" textRotation="0" wrapText="1" justifyLastLine="0" shrinkToFit="0" readingOrder="0"/>
    </dxf>
    <dxf>
      <alignment vertical="bottom" textRotation="0" wrapText="1" justifyLastLine="0" shrinkToFit="0" readingOrder="0"/>
    </dxf>
    <dxf>
      <alignment vertical="bottom" textRotation="0" wrapText="1" justifyLastLine="0" shrinkToFit="0" readingOrder="0"/>
    </dxf>
    <dxf>
      <alignment horizontal="general" vertical="bottom" textRotation="0" wrapText="1" indent="0" relativeIndent="255" justifyLastLine="0" shrinkToFit="0" readingOrder="0"/>
    </dxf>
    <dxf>
      <alignment vertical="bottom" textRotation="0" wrapText="1" justifyLastLine="0" shrinkToFit="0" readingOrder="0"/>
    </dxf>
    <dxf>
      <alignment horizontal="general" vertical="bottom" textRotation="0" wrapText="1" indent="0" relativeIndent="255" justifyLastLine="0" shrinkToFit="0" readingOrder="0"/>
    </dxf>
    <dxf>
      <alignment horizontal="general" vertical="bottom" textRotation="0" wrapText="1" indent="0" relativeIndent="255" justifyLastLine="0" shrinkToFit="0" readingOrder="0"/>
    </dxf>
    <dxf>
      <alignment vertical="bottom" textRotation="0" wrapText="1" justifyLastLine="0" shrinkToFit="0" readingOrder="0"/>
    </dxf>
    <dxf>
      <alignment horizontal="general" vertical="bottom" textRotation="0" wrapText="1" indent="0" relativeIndent="255" justifyLastLine="0" shrinkToFit="0" readingOrder="0"/>
    </dxf>
    <dxf>
      <alignment vertical="bottom" textRotation="0" wrapText="1" justifyLastLine="0" shrinkToFit="0" readingOrder="0"/>
    </dxf>
    <dxf>
      <alignment horizontal="general" vertical="bottom" textRotation="0" wrapText="1" indent="0" relativeIndent="255" justifyLastLine="0" shrinkToFit="0" readingOrder="0"/>
    </dxf>
    <dxf>
      <alignment horizontal="general" vertical="bottom" textRotation="0" wrapText="1" indent="0" relativeIndent="255" justifyLastLine="0" shrinkToFit="0" readingOrder="0"/>
    </dxf>
    <dxf>
      <alignment vertical="bottom" textRotation="0" wrapText="1" justifyLastLine="0" shrinkToFit="0" readingOrder="0"/>
    </dxf>
    <dxf>
      <alignment vertical="bottom" textRotation="0" wrapText="1" justifyLastLine="0" shrinkToFit="0" readingOrder="0"/>
    </dxf>
    <dxf>
      <alignment vertical="bottom" textRotation="0" wrapText="1" justifyLastLine="0" shrinkToFit="0" readingOrder="0"/>
    </dxf>
    <dxf>
      <alignment horizontal="general" vertical="bottom" textRotation="0" wrapText="1" indent="0" relativeIndent="255" justifyLastLine="0" shrinkToFit="0" readingOrder="0"/>
    </dxf>
    <dxf>
      <alignment vertical="bottom" textRotation="0" wrapText="1" justifyLastLine="0" shrinkToFit="0" readingOrder="0"/>
    </dxf>
    <dxf>
      <alignment vertical="bottom" textRotation="0" wrapText="1" justifyLastLine="0" shrinkToFit="0" readingOrder="0"/>
    </dxf>
    <dxf>
      <alignment vertical="bottom" textRotation="0" wrapText="1" justifyLastLine="0" shrinkToFit="0" readingOrder="0"/>
    </dxf>
    <dxf>
      <alignment vertical="bottom" textRotation="0" wrapText="1" justifyLastLine="0" shrinkToFit="0" readingOrder="0"/>
    </dxf>
    <dxf>
      <font>
        <strike val="0"/>
        <outline val="0"/>
        <shadow val="0"/>
        <u val="none"/>
        <vertAlign val="baseline"/>
        <sz val="11"/>
        <color theme="1"/>
        <name val="Calibri"/>
        <scheme val="minor"/>
      </font>
      <alignment horizontal="general" vertical="bottom" textRotation="0" wrapText="1" indent="0" relativeIndent="0" justifyLastLine="0" shrinkToFit="0" readingOrder="0"/>
    </dxf>
    <dxf>
      <alignment horizontal="general" vertical="bottom" textRotation="0" wrapText="1" indent="0" relativeIndent="0" justifyLastLine="0" shrinkToFit="0" readingOrder="0"/>
    </dxf>
    <dxf>
      <alignment horizontal="general" vertical="bottom" textRotation="0" wrapText="1" indent="0" relativeIndent="0" justifyLastLine="0" shrinkToFit="0" readingOrder="0"/>
    </dxf>
    <dxf>
      <alignment horizontal="general" vertical="bottom" textRotation="0" wrapText="1" indent="0" relativeIndent="0" justifyLastLine="0" shrinkToFit="0" readingOrder="0"/>
    </dxf>
    <dxf>
      <alignment horizontal="general" vertical="bottom" textRotation="0" wrapText="1" indent="0" relativeIndent="0" justifyLastLine="0" shrinkToFit="0" readingOrder="0"/>
    </dxf>
    <dxf>
      <alignment horizontal="general" vertical="bottom" textRotation="0" wrapText="1" indent="0" relativeIndent="0" justifyLastLine="0" shrinkToFit="0" readingOrder="0"/>
    </dxf>
    <dxf>
      <alignment horizontal="general" vertical="bottom" textRotation="0" wrapText="1" indent="0" relativeIndent="0" justifyLastLine="0" shrinkToFit="0" readingOrder="0"/>
    </dxf>
    <dxf>
      <alignment horizontal="general" vertical="bottom" textRotation="0" wrapText="1" indent="0" relativeIndent="0" justifyLastLine="0" shrinkToFit="0" readingOrder="0"/>
    </dxf>
    <dxf>
      <alignment horizontal="general" vertical="bottom" textRotation="0" wrapText="1" indent="0" relativeIndent="0" justifyLastLine="0" shrinkToFit="0" readingOrder="0"/>
    </dxf>
    <dxf>
      <alignment horizontal="general" vertical="bottom" textRotation="0" wrapText="1" indent="0" relativeIndent="0" justifyLastLine="0" shrinkToFit="0" readingOrder="0"/>
    </dxf>
    <dxf>
      <alignment horizontal="general" vertical="bottom" textRotation="0" wrapText="1" indent="0" relativeIndent="0" justifyLastLine="0" shrinkToFit="0" readingOrder="0"/>
    </dxf>
    <dxf>
      <alignment horizontal="general" vertical="bottom" textRotation="0" wrapText="1" indent="0" relativeIndent="0" justifyLastLine="0" shrinkToFit="0" readingOrder="0"/>
    </dxf>
    <dxf>
      <alignment horizontal="general" vertical="bottom" textRotation="0" wrapText="1" indent="0" relativeIndent="0" justifyLastLine="0" shrinkToFit="0" readingOrder="0"/>
    </dxf>
    <dxf>
      <alignment horizontal="general" vertical="bottom" textRotation="0" wrapText="1" indent="0" relativeIndent="0" justifyLastLine="0" shrinkToFit="0" readingOrder="0"/>
    </dxf>
    <dxf>
      <alignment horizontal="general" vertical="bottom" textRotation="0" wrapText="1" indent="0" relativeIndent="0" justifyLastLine="0" shrinkToFit="0" readingOrder="0"/>
    </dxf>
    <dxf>
      <alignment horizontal="general" vertical="bottom" textRotation="0" wrapText="1" indent="0" relativeIndent="0" justifyLastLine="0" shrinkToFit="0" readingOrder="0"/>
    </dxf>
    <dxf>
      <alignment horizontal="general" vertical="bottom" textRotation="0" wrapText="1" indent="0" relativeIndent="0" justifyLastLine="0" shrinkToFit="0" readingOrder="0"/>
    </dxf>
    <dxf>
      <alignment horizontal="general" vertical="bottom" textRotation="0" wrapText="1" indent="0" relativeIndent="0" justifyLastLine="0" shrinkToFit="0" readingOrder="0"/>
    </dxf>
    <dxf>
      <alignment horizontal="general" vertical="bottom" textRotation="0" wrapText="1" indent="0" relativeIndent="0" justifyLastLine="0" shrinkToFit="0" readingOrder="0"/>
    </dxf>
    <dxf>
      <alignment horizontal="general" vertical="bottom" textRotation="0" wrapText="1" indent="0" relativeIndent="0" justifyLastLine="0" shrinkToFit="0" readingOrder="0"/>
    </dxf>
    <dxf>
      <alignment horizontal="general" vertical="bottom" textRotation="0" wrapText="1" indent="0" relativeIndent="0" justifyLastLine="0" shrinkToFit="0" readingOrder="0"/>
    </dxf>
    <dxf>
      <alignment horizontal="general" vertical="bottom" textRotation="0" wrapText="1" indent="0" relativeIndent="0" justifyLastLine="0" shrinkToFit="0" readingOrder="0"/>
    </dxf>
    <dxf>
      <alignment horizontal="general" vertical="bottom" textRotation="0" wrapText="1" indent="0" relativeIndent="0" justifyLastLine="0" shrinkToFit="0" readingOrder="0"/>
    </dxf>
    <dxf>
      <alignment horizontal="general" vertical="bottom" textRotation="0" wrapText="1" indent="0" relativeIndent="0" justifyLastLine="0" shrinkToFit="0" readingOrder="0"/>
    </dxf>
    <dxf>
      <alignment horizontal="general" vertical="bottom" textRotation="0" wrapText="1" indent="0" relativeIndent="0" justifyLastLine="0" shrinkToFit="0" readingOrder="0"/>
    </dxf>
    <dxf>
      <alignment horizontal="general" vertical="bottom" textRotation="0" wrapText="1" indent="0" relativeIndent="0" justifyLastLine="0" shrinkToFit="0" readingOrder="0"/>
    </dxf>
    <dxf>
      <alignment horizontal="general" vertical="bottom" textRotation="0" wrapText="1" indent="0" relativeIndent="0" justifyLastLine="0" shrinkToFit="0" readingOrder="0"/>
    </dxf>
    <dxf>
      <alignment horizontal="general" vertical="bottom" textRotation="0" wrapText="1" indent="0" relativeIndent="0" justifyLastLine="0" shrinkToFit="0" readingOrder="0"/>
    </dxf>
    <dxf>
      <alignment horizontal="general" vertical="bottom" textRotation="0" wrapText="1" indent="0" relativeIndent="0" justifyLastLine="0" shrinkToFit="0" readingOrder="0"/>
    </dxf>
    <dxf>
      <alignment horizontal="general" vertical="bottom" textRotation="0" wrapText="1" indent="0" relativeIndent="0" justifyLastLine="0" shrinkToFit="0" readingOrder="0"/>
    </dxf>
    <dxf>
      <alignment horizontal="general" vertical="bottom" textRotation="0" wrapText="1" indent="0" relativeIndent="0" justifyLastLine="0" shrinkToFit="0" readingOrder="0"/>
    </dxf>
    <dxf>
      <alignment horizontal="general" vertical="bottom" textRotation="0" wrapText="1" indent="0" relativeIndent="0" justifyLastLine="0" shrinkToFit="0" readingOrder="0"/>
    </dxf>
    <dxf>
      <alignment horizontal="general" vertical="bottom" textRotation="0" wrapText="1" indent="0" relativeIndent="0" justifyLastLine="0" shrinkToFit="0" readingOrder="0"/>
    </dxf>
    <dxf>
      <alignment horizontal="general" vertical="bottom" textRotation="0" wrapText="1" indent="0" relativeIndent="0" justifyLastLine="0" shrinkToFit="0" readingOrder="0"/>
    </dxf>
    <dxf>
      <alignment horizontal="general" vertical="bottom" textRotation="0" wrapText="1" indent="0" relativeIndent="0" justifyLastLine="0" shrinkToFit="0" readingOrder="0"/>
    </dxf>
    <dxf>
      <alignment horizontal="general" vertical="bottom" textRotation="0" wrapText="1" indent="0" relativeIndent="0" justifyLastLine="0" shrinkToFit="0" readingOrder="0"/>
    </dxf>
    <dxf>
      <alignment horizontal="general" vertical="bottom" textRotation="0" wrapText="1" indent="0" relativeIndent="0" justifyLastLine="0" shrinkToFit="0" readingOrder="0"/>
    </dxf>
    <dxf>
      <alignment horizontal="general" vertical="bottom" textRotation="0" wrapText="1" indent="0" relativeIndent="0" justifyLastLine="0" shrinkToFit="0" readingOrder="0"/>
    </dxf>
    <dxf>
      <alignment horizontal="general" vertical="bottom" textRotation="0" wrapText="1" indent="0" relativeIndent="0" justifyLastLine="0" shrinkToFit="0" readingOrder="0"/>
    </dxf>
    <dxf>
      <alignment horizontal="general" vertical="bottom" textRotation="0" wrapText="1" indent="0" relativeIndent="0" justifyLastLine="0" shrinkToFit="0" readingOrder="0"/>
    </dxf>
    <dxf>
      <alignment horizontal="general" vertical="bottom" textRotation="0" wrapText="1" indent="0" relativeIndent="0" justifyLastLine="0" shrinkToFit="0" readingOrder="0"/>
    </dxf>
    <dxf>
      <alignment horizontal="general" vertical="bottom" textRotation="0" wrapText="1" indent="0" relativeIndent="0" justifyLastLine="0" shrinkToFit="0" readingOrder="0"/>
    </dxf>
    <dxf>
      <alignment horizontal="general" vertical="bottom" textRotation="0" wrapText="1" indent="0" relativeIndent="0" justifyLastLine="0" shrinkToFit="0" readingOrder="0"/>
    </dxf>
    <dxf>
      <alignment horizontal="general" vertical="bottom" textRotation="0" wrapText="1" indent="0" relativeIndent="0" justifyLastLine="0" shrinkToFit="0" readingOrder="0"/>
    </dxf>
    <dxf>
      <alignment horizontal="general" vertical="bottom" textRotation="0" wrapText="1" indent="0" relativeIndent="0" justifyLastLine="0" shrinkToFit="0" readingOrder="0"/>
    </dxf>
    <dxf>
      <alignment horizontal="general" vertical="bottom" textRotation="0" wrapText="1" indent="0" relativeIndent="0" justifyLastLine="0" shrinkToFit="0" readingOrder="0"/>
    </dxf>
    <dxf>
      <alignment horizontal="general" vertical="bottom" textRotation="0" wrapText="1" indent="0" relativeIndent="0" justifyLastLine="0" shrinkToFit="0" readingOrder="0"/>
    </dxf>
    <dxf>
      <alignment horizontal="general" vertical="bottom" textRotation="0" wrapText="1" indent="0" relativeIndent="0" justifyLastLine="0" shrinkToFit="0" readingOrder="0"/>
    </dxf>
    <dxf>
      <alignment horizontal="general" vertical="bottom" textRotation="0" wrapText="1" indent="0" relativeIndent="0" justifyLastLine="0" shrinkToFit="0" readingOrder="0"/>
    </dxf>
    <dxf>
      <alignment horizontal="general" vertical="bottom" textRotation="0" wrapText="1" indent="0" relativeIndent="0" justifyLastLine="0" shrinkToFit="0" readingOrder="0"/>
    </dxf>
    <dxf>
      <alignment horizontal="general" vertical="bottom" textRotation="0" wrapText="1" indent="0" relativeIndent="0" justifyLastLine="0" shrinkToFit="0" readingOrder="0"/>
    </dxf>
    <dxf>
      <alignment horizontal="general" vertical="bottom" textRotation="0" wrapText="1" indent="0" relativeIndent="0" justifyLastLine="0" shrinkToFit="0" readingOrder="0"/>
    </dxf>
    <dxf>
      <alignment horizontal="general" vertical="bottom" textRotation="0" wrapText="1" indent="0" relativeIndent="0" justifyLastLine="0" shrinkToFit="0" readingOrder="0"/>
    </dxf>
    <dxf>
      <alignment horizontal="general" vertical="bottom" textRotation="0" wrapText="1" indent="0" relativeIndent="0" justifyLastLine="0" shrinkToFit="0" readingOrder="0"/>
    </dxf>
    <dxf>
      <alignment horizontal="general" vertical="bottom" textRotation="0" wrapText="1" indent="0" relativeIndent="0" justifyLastLine="0" shrinkToFit="0" readingOrder="0"/>
    </dxf>
    <dxf>
      <alignment horizontal="general" vertical="bottom" textRotation="0" wrapText="1" indent="0" relativeIndent="0" justifyLastLine="0" shrinkToFit="0" readingOrder="0"/>
    </dxf>
    <dxf>
      <alignment horizontal="general" vertical="bottom" textRotation="0" wrapText="1" indent="0" relativeIndent="0" justifyLastLine="0" shrinkToFit="0" readingOrder="0"/>
    </dxf>
    <dxf>
      <alignment horizontal="general" vertical="bottom" textRotation="0" wrapText="1" indent="0" relativeIndent="0" justifyLastLine="0" shrinkToFit="0" readingOrder="0"/>
    </dxf>
    <dxf>
      <alignment horizontal="general" vertical="bottom" textRotation="0" wrapText="1" indent="0" relativeIndent="0" justifyLastLine="0" shrinkToFit="0" readingOrder="0"/>
    </dxf>
    <dxf>
      <alignment horizontal="general" vertical="bottom" textRotation="0" wrapText="1" indent="0" relativeIndent="0" justifyLastLine="0" shrinkToFit="0" readingOrder="0"/>
    </dxf>
    <dxf>
      <alignment horizontal="general" vertical="bottom" textRotation="0" wrapText="1" indent="0" relativeIndent="0" justifyLastLine="0" shrinkToFit="0" readingOrder="0"/>
    </dxf>
    <dxf>
      <alignment horizontal="general" vertical="bottom" textRotation="0" wrapText="1" indent="0" relativeIndent="0" justifyLastLine="0" shrinkToFit="0" readingOrder="0"/>
    </dxf>
    <dxf>
      <alignment horizontal="general" vertical="bottom" textRotation="0" wrapText="1" indent="0" relativeIndent="255" justifyLastLine="0" shrinkToFit="0" readingOrder="0"/>
    </dxf>
    <dxf>
      <alignment horizontal="general" vertical="bottom" textRotation="0" wrapText="1" indent="0" relativeIndent="0" justifyLastLine="0" shrinkToFit="0" readingOrder="0"/>
    </dxf>
    <dxf>
      <alignment horizontal="general" vertical="bottom" textRotation="0" wrapText="1" indent="0" relativeIndent="255" justifyLastLine="0" shrinkToFit="0" readingOrder="0"/>
    </dxf>
    <dxf>
      <alignment horizontal="general" vertical="bottom" textRotation="0" wrapText="1" indent="0" relativeIndent="255" justifyLastLine="0" shrinkToFit="0" readingOrder="0"/>
    </dxf>
    <dxf>
      <alignment horizontal="general" vertical="bottom" textRotation="0" wrapText="1" indent="0" relativeIndent="0" justifyLastLine="0" shrinkToFit="0" readingOrder="0"/>
    </dxf>
    <dxf>
      <alignment horizontal="general" vertical="bottom" textRotation="0" wrapText="1" indent="0" relativeIndent="0" justifyLastLine="0" shrinkToFit="0" readingOrder="0"/>
    </dxf>
    <dxf>
      <alignment horizontal="general" vertical="bottom" textRotation="0" wrapText="1" indent="0" relativeIndent="255" justifyLastLine="0" shrinkToFit="0" readingOrder="0"/>
    </dxf>
    <dxf>
      <alignment horizontal="general" vertical="bottom" textRotation="0" wrapText="1" indent="0" relativeIndent="0" justifyLastLine="0" shrinkToFit="0" readingOrder="0"/>
    </dxf>
    <dxf>
      <alignment horizontal="general" vertical="bottom" textRotation="0" wrapText="1" indent="0" relativeIndent="0" justifyLastLine="0" shrinkToFit="0" readingOrder="0"/>
    </dxf>
    <dxf>
      <alignment horizontal="general" vertical="bottom" textRotation="0" wrapText="1" indent="0" relativeIndent="0" justifyLastLine="0" shrinkToFit="0" readingOrder="0"/>
    </dxf>
  </dxfs>
  <tableStyles count="0" defaultTableStyle="TableStyleMedium9" defaultPivotStyle="PivotStyleLight16"/>
  <colors>
    <mruColors>
      <color rgb="FF99CC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lang val="en-IE"/>
  <c:chart>
    <c:title>
      <c:tx>
        <c:rich>
          <a:bodyPr/>
          <a:lstStyle/>
          <a:p>
            <a:pPr>
              <a:defRPr/>
            </a:pPr>
            <a:r>
              <a:rPr lang="en-IE"/>
              <a:t>Gender</a:t>
            </a:r>
          </a:p>
        </c:rich>
      </c:tx>
    </c:title>
    <c:plotArea>
      <c:layout/>
      <c:barChart>
        <c:barDir val="col"/>
        <c:grouping val="clustered"/>
        <c:ser>
          <c:idx val="1"/>
          <c:order val="0"/>
          <c:dLbls>
            <c:showVal val="1"/>
          </c:dLbls>
          <c:cat>
            <c:strRef>
              <c:f>OverallResults!$A$11:$A$13</c:f>
              <c:strCache>
                <c:ptCount val="3"/>
                <c:pt idx="0">
                  <c:v>Male</c:v>
                </c:pt>
                <c:pt idx="1">
                  <c:v>Female</c:v>
                </c:pt>
                <c:pt idx="2">
                  <c:v>Other</c:v>
                </c:pt>
              </c:strCache>
            </c:strRef>
          </c:cat>
          <c:val>
            <c:numRef>
              <c:f>OverallResults!$D$11:$D$13</c:f>
              <c:numCache>
                <c:formatCode>0.0</c:formatCode>
                <c:ptCount val="3"/>
                <c:pt idx="0">
                  <c:v>0</c:v>
                </c:pt>
                <c:pt idx="1">
                  <c:v>0</c:v>
                </c:pt>
                <c:pt idx="2">
                  <c:v>0</c:v>
                </c:pt>
              </c:numCache>
            </c:numRef>
          </c:val>
        </c:ser>
        <c:dLbls/>
        <c:axId val="79540992"/>
        <c:axId val="79542528"/>
      </c:barChart>
      <c:catAx>
        <c:axId val="79540992"/>
        <c:scaling>
          <c:orientation val="minMax"/>
        </c:scaling>
        <c:axPos val="b"/>
        <c:majorTickMark val="none"/>
        <c:tickLblPos val="nextTo"/>
        <c:crossAx val="79542528"/>
        <c:crosses val="autoZero"/>
        <c:auto val="1"/>
        <c:lblAlgn val="ctr"/>
        <c:lblOffset val="100"/>
      </c:catAx>
      <c:valAx>
        <c:axId val="79542528"/>
        <c:scaling>
          <c:orientation val="minMax"/>
          <c:max val="100"/>
        </c:scaling>
        <c:axPos val="l"/>
        <c:majorGridlines/>
        <c:numFmt formatCode="0.0" sourceLinked="1"/>
        <c:majorTickMark val="none"/>
        <c:tickLblPos val="nextTo"/>
        <c:crossAx val="79540992"/>
        <c:crosses val="autoZero"/>
        <c:crossBetween val="between"/>
      </c:valAx>
    </c:plotArea>
    <c:plotVisOnly val="1"/>
    <c:dispBlanksAs val="gap"/>
  </c:chart>
  <c:printSettings>
    <c:headerFooter/>
    <c:pageMargins b="0.75000000000000333" l="0.70000000000000062" r="0.70000000000000062" t="0.75000000000000333"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IE"/>
  <c:chart>
    <c:title>
      <c:tx>
        <c:rich>
          <a:bodyPr/>
          <a:lstStyle/>
          <a:p>
            <a:pPr>
              <a:defRPr/>
            </a:pPr>
            <a:r>
              <a:rPr lang="en-IE"/>
              <a:t>Ease of access and use of the building during your visit?</a:t>
            </a:r>
          </a:p>
        </c:rich>
      </c:tx>
    </c:title>
    <c:plotArea>
      <c:layout/>
      <c:barChart>
        <c:barDir val="col"/>
        <c:grouping val="clustered"/>
        <c:ser>
          <c:idx val="0"/>
          <c:order val="0"/>
          <c:dLbls>
            <c:showVal val="1"/>
          </c:dLbls>
          <c:cat>
            <c:strRef>
              <c:f>OverallResults!$A$124:$A$127</c:f>
              <c:strCache>
                <c:ptCount val="4"/>
                <c:pt idx="0">
                  <c:v>Very easy</c:v>
                </c:pt>
                <c:pt idx="1">
                  <c:v>Easy</c:v>
                </c:pt>
                <c:pt idx="2">
                  <c:v>Difficult</c:v>
                </c:pt>
                <c:pt idx="3">
                  <c:v>Very difficult</c:v>
                </c:pt>
              </c:strCache>
            </c:strRef>
          </c:cat>
          <c:val>
            <c:numRef>
              <c:f>OverallResults!$D$124:$D$127</c:f>
              <c:numCache>
                <c:formatCode>0.0</c:formatCode>
                <c:ptCount val="4"/>
                <c:pt idx="0">
                  <c:v>0</c:v>
                </c:pt>
                <c:pt idx="1">
                  <c:v>0</c:v>
                </c:pt>
                <c:pt idx="2">
                  <c:v>0</c:v>
                </c:pt>
                <c:pt idx="3">
                  <c:v>0</c:v>
                </c:pt>
              </c:numCache>
            </c:numRef>
          </c:val>
        </c:ser>
        <c:dLbls/>
        <c:axId val="80059392"/>
        <c:axId val="80073472"/>
      </c:barChart>
      <c:catAx>
        <c:axId val="80059392"/>
        <c:scaling>
          <c:orientation val="minMax"/>
        </c:scaling>
        <c:axPos val="b"/>
        <c:majorTickMark val="none"/>
        <c:tickLblPos val="nextTo"/>
        <c:crossAx val="80073472"/>
        <c:crosses val="autoZero"/>
        <c:auto val="1"/>
        <c:lblAlgn val="ctr"/>
        <c:lblOffset val="100"/>
      </c:catAx>
      <c:valAx>
        <c:axId val="80073472"/>
        <c:scaling>
          <c:orientation val="minMax"/>
          <c:max val="100"/>
        </c:scaling>
        <c:axPos val="l"/>
        <c:majorGridlines/>
        <c:numFmt formatCode="0.0" sourceLinked="1"/>
        <c:majorTickMark val="none"/>
        <c:tickLblPos val="nextTo"/>
        <c:crossAx val="80059392"/>
        <c:crosses val="autoZero"/>
        <c:crossBetween val="between"/>
      </c:valAx>
    </c:plotArea>
    <c:plotVisOnly val="1"/>
    <c:dispBlanksAs val="gap"/>
  </c:chart>
  <c:printSettings>
    <c:headerFooter/>
    <c:pageMargins b="0.75000000000000533" l="0.70000000000000062" r="0.70000000000000062" t="0.75000000000000533" header="0.30000000000000032" footer="0.30000000000000032"/>
    <c:pageSetup/>
  </c:printSettings>
</c:chartSpace>
</file>

<file path=xl/charts/chart100.xml><?xml version="1.0" encoding="utf-8"?>
<c:chartSpace xmlns:c="http://schemas.openxmlformats.org/drawingml/2006/chart" xmlns:a="http://schemas.openxmlformats.org/drawingml/2006/main" xmlns:r="http://schemas.openxmlformats.org/officeDocument/2006/relationships">
  <c:lang val="en-IE"/>
  <c:chart>
    <c:title>
      <c:tx>
        <c:strRef>
          <c:f>'Search by Age'!$A$312</c:f>
          <c:strCache>
            <c:ptCount val="1"/>
            <c:pt idx="0">
              <c:v>Patient highlighted other areas for information or advice</c:v>
            </c:pt>
          </c:strCache>
        </c:strRef>
      </c:tx>
    </c:title>
    <c:plotArea>
      <c:layout/>
      <c:barChart>
        <c:barDir val="col"/>
        <c:grouping val="clustered"/>
        <c:ser>
          <c:idx val="0"/>
          <c:order val="0"/>
          <c:dLbls>
            <c:showVal val="1"/>
          </c:dLbls>
          <c:cat>
            <c:strRef>
              <c:f>'Search by Age'!$A$314:$A$315</c:f>
              <c:strCache>
                <c:ptCount val="2"/>
                <c:pt idx="0">
                  <c:v>Yes</c:v>
                </c:pt>
                <c:pt idx="1">
                  <c:v>No</c:v>
                </c:pt>
              </c:strCache>
            </c:strRef>
          </c:cat>
          <c:val>
            <c:numRef>
              <c:f>'Search by Age'!$D$314:$D$315</c:f>
              <c:numCache>
                <c:formatCode>0.0</c:formatCode>
                <c:ptCount val="2"/>
                <c:pt idx="0">
                  <c:v>0</c:v>
                </c:pt>
                <c:pt idx="1">
                  <c:v>0</c:v>
                </c:pt>
              </c:numCache>
            </c:numRef>
          </c:val>
        </c:ser>
        <c:dLbls/>
        <c:axId val="100828288"/>
        <c:axId val="100829824"/>
      </c:barChart>
      <c:catAx>
        <c:axId val="100828288"/>
        <c:scaling>
          <c:orientation val="minMax"/>
        </c:scaling>
        <c:axPos val="b"/>
        <c:numFmt formatCode="General" sourceLinked="1"/>
        <c:majorTickMark val="none"/>
        <c:tickLblPos val="nextTo"/>
        <c:crossAx val="100829824"/>
        <c:crosses val="autoZero"/>
        <c:auto val="1"/>
        <c:lblAlgn val="ctr"/>
        <c:lblOffset val="100"/>
      </c:catAx>
      <c:valAx>
        <c:axId val="100829824"/>
        <c:scaling>
          <c:orientation val="minMax"/>
          <c:max val="100"/>
        </c:scaling>
        <c:axPos val="l"/>
        <c:majorGridlines/>
        <c:numFmt formatCode="0.0" sourceLinked="1"/>
        <c:majorTickMark val="none"/>
        <c:tickLblPos val="nextTo"/>
        <c:crossAx val="100828288"/>
        <c:crosses val="autoZero"/>
        <c:crossBetween val="between"/>
      </c:valAx>
    </c:plotArea>
    <c:plotVisOnly val="1"/>
    <c:dispBlanksAs val="gap"/>
  </c:chart>
  <c:printSettings>
    <c:headerFooter/>
    <c:pageMargins b="0.75000000000000977" l="0.70000000000000062" r="0.70000000000000062" t="0.75000000000000977" header="0.30000000000000032" footer="0.30000000000000032"/>
    <c:pageSetup/>
  </c:printSettings>
</c:chartSpace>
</file>

<file path=xl/charts/chart101.xml><?xml version="1.0" encoding="utf-8"?>
<c:chartSpace xmlns:c="http://schemas.openxmlformats.org/drawingml/2006/chart" xmlns:a="http://schemas.openxmlformats.org/drawingml/2006/main" xmlns:r="http://schemas.openxmlformats.org/officeDocument/2006/relationships">
  <c:lang val="en-IE"/>
  <c:chart>
    <c:title>
      <c:tx>
        <c:strRef>
          <c:f>'Search by Age'!$A$320</c:f>
          <c:strCache>
            <c:ptCount val="1"/>
            <c:pt idx="0">
              <c:v>Overall patient rating of their appointment on day of survey</c:v>
            </c:pt>
          </c:strCache>
        </c:strRef>
      </c:tx>
    </c:title>
    <c:plotArea>
      <c:layout/>
      <c:barChart>
        <c:barDir val="col"/>
        <c:grouping val="clustered"/>
        <c:ser>
          <c:idx val="0"/>
          <c:order val="0"/>
          <c:dLbls>
            <c:showVal val="1"/>
          </c:dLbls>
          <c:cat>
            <c:strRef>
              <c:f>'Search by Age'!$A$322:$A$326</c:f>
              <c:strCache>
                <c:ptCount val="5"/>
                <c:pt idx="0">
                  <c:v>Excellent</c:v>
                </c:pt>
                <c:pt idx="1">
                  <c:v>Very Good</c:v>
                </c:pt>
                <c:pt idx="2">
                  <c:v>Good</c:v>
                </c:pt>
                <c:pt idx="3">
                  <c:v>Poor </c:v>
                </c:pt>
                <c:pt idx="4">
                  <c:v>Very Poor</c:v>
                </c:pt>
              </c:strCache>
            </c:strRef>
          </c:cat>
          <c:val>
            <c:numRef>
              <c:f>'Search by Age'!$D$322:$D$326</c:f>
              <c:numCache>
                <c:formatCode>0.0</c:formatCode>
                <c:ptCount val="5"/>
                <c:pt idx="0">
                  <c:v>0</c:v>
                </c:pt>
                <c:pt idx="1">
                  <c:v>0</c:v>
                </c:pt>
                <c:pt idx="2">
                  <c:v>0</c:v>
                </c:pt>
                <c:pt idx="3">
                  <c:v>0</c:v>
                </c:pt>
                <c:pt idx="4">
                  <c:v>0</c:v>
                </c:pt>
              </c:numCache>
            </c:numRef>
          </c:val>
        </c:ser>
        <c:dLbls/>
        <c:axId val="94242688"/>
        <c:axId val="94244224"/>
      </c:barChart>
      <c:catAx>
        <c:axId val="94242688"/>
        <c:scaling>
          <c:orientation val="minMax"/>
        </c:scaling>
        <c:axPos val="b"/>
        <c:numFmt formatCode="General" sourceLinked="1"/>
        <c:majorTickMark val="none"/>
        <c:tickLblPos val="nextTo"/>
        <c:crossAx val="94244224"/>
        <c:crosses val="autoZero"/>
        <c:auto val="1"/>
        <c:lblAlgn val="ctr"/>
        <c:lblOffset val="100"/>
      </c:catAx>
      <c:valAx>
        <c:axId val="94244224"/>
        <c:scaling>
          <c:orientation val="minMax"/>
          <c:max val="100"/>
        </c:scaling>
        <c:axPos val="l"/>
        <c:majorGridlines/>
        <c:numFmt formatCode="0.0" sourceLinked="1"/>
        <c:majorTickMark val="none"/>
        <c:tickLblPos val="nextTo"/>
        <c:crossAx val="94242688"/>
        <c:crosses val="autoZero"/>
        <c:crossBetween val="between"/>
      </c:valAx>
    </c:plotArea>
    <c:plotVisOnly val="1"/>
    <c:dispBlanksAs val="gap"/>
  </c:chart>
  <c:printSettings>
    <c:headerFooter/>
    <c:pageMargins b="0.75000000000000999" l="0.70000000000000062" r="0.70000000000000062" t="0.75000000000000999" header="0.30000000000000032" footer="0.30000000000000032"/>
    <c:pageSetup/>
  </c:printSettings>
</c:chartSpace>
</file>

<file path=xl/charts/chart102.xml><?xml version="1.0" encoding="utf-8"?>
<c:chartSpace xmlns:c="http://schemas.openxmlformats.org/drawingml/2006/chart" xmlns:a="http://schemas.openxmlformats.org/drawingml/2006/main" xmlns:r="http://schemas.openxmlformats.org/officeDocument/2006/relationships">
  <c:lang val="en-IE"/>
  <c:chart>
    <c:title>
      <c:tx>
        <c:strRef>
          <c:f>'Search by Age'!$A$331</c:f>
          <c:strCache>
            <c:ptCount val="1"/>
            <c:pt idx="0">
              <c:v>Patient awareness of The National Healthcare Charter, ‘You and Your Health Service’</c:v>
            </c:pt>
          </c:strCache>
        </c:strRef>
      </c:tx>
    </c:title>
    <c:plotArea>
      <c:layout/>
      <c:barChart>
        <c:barDir val="col"/>
        <c:grouping val="clustered"/>
        <c:ser>
          <c:idx val="0"/>
          <c:order val="0"/>
          <c:dLbls>
            <c:showVal val="1"/>
          </c:dLbls>
          <c:cat>
            <c:strRef>
              <c:f>'Search by Age'!$A$333:$A$334</c:f>
              <c:strCache>
                <c:ptCount val="2"/>
                <c:pt idx="0">
                  <c:v>Yes</c:v>
                </c:pt>
                <c:pt idx="1">
                  <c:v>No</c:v>
                </c:pt>
              </c:strCache>
            </c:strRef>
          </c:cat>
          <c:val>
            <c:numRef>
              <c:f>'Search by Age'!$D$333:$D$334</c:f>
              <c:numCache>
                <c:formatCode>0.0</c:formatCode>
                <c:ptCount val="2"/>
                <c:pt idx="0">
                  <c:v>0</c:v>
                </c:pt>
                <c:pt idx="1">
                  <c:v>0</c:v>
                </c:pt>
              </c:numCache>
            </c:numRef>
          </c:val>
        </c:ser>
        <c:dLbls/>
        <c:axId val="94276608"/>
        <c:axId val="94278400"/>
      </c:barChart>
      <c:catAx>
        <c:axId val="94276608"/>
        <c:scaling>
          <c:orientation val="minMax"/>
        </c:scaling>
        <c:axPos val="b"/>
        <c:numFmt formatCode="General" sourceLinked="1"/>
        <c:majorTickMark val="none"/>
        <c:tickLblPos val="nextTo"/>
        <c:crossAx val="94278400"/>
        <c:crosses val="autoZero"/>
        <c:auto val="1"/>
        <c:lblAlgn val="ctr"/>
        <c:lblOffset val="100"/>
      </c:catAx>
      <c:valAx>
        <c:axId val="94278400"/>
        <c:scaling>
          <c:orientation val="minMax"/>
          <c:max val="100"/>
        </c:scaling>
        <c:axPos val="l"/>
        <c:majorGridlines/>
        <c:numFmt formatCode="0.0" sourceLinked="1"/>
        <c:majorTickMark val="none"/>
        <c:tickLblPos val="nextTo"/>
        <c:crossAx val="94276608"/>
        <c:crosses val="autoZero"/>
        <c:crossBetween val="between"/>
      </c:valAx>
    </c:plotArea>
    <c:plotVisOnly val="1"/>
    <c:dispBlanksAs val="gap"/>
  </c:chart>
  <c:printSettings>
    <c:headerFooter/>
    <c:pageMargins b="0.75000000000001021" l="0.70000000000000062" r="0.70000000000000062" t="0.75000000000001021" header="0.30000000000000032" footer="0.30000000000000032"/>
    <c:pageSetup/>
  </c:printSettings>
</c:chartSpace>
</file>

<file path=xl/charts/chart103.xml><?xml version="1.0" encoding="utf-8"?>
<c:chartSpace xmlns:c="http://schemas.openxmlformats.org/drawingml/2006/chart" xmlns:a="http://schemas.openxmlformats.org/drawingml/2006/main" xmlns:r="http://schemas.openxmlformats.org/officeDocument/2006/relationships">
  <c:lang val="en-IE"/>
  <c:chart>
    <c:title>
      <c:tx>
        <c:strRef>
          <c:f>'Search by Age'!$A$339</c:f>
          <c:strCache>
            <c:ptCount val="1"/>
            <c:pt idx="0">
              <c:v>Patient awareness of ‘Your Service Your Say’ (HSE Complaints Process)</c:v>
            </c:pt>
          </c:strCache>
        </c:strRef>
      </c:tx>
    </c:title>
    <c:plotArea>
      <c:layout/>
      <c:barChart>
        <c:barDir val="col"/>
        <c:grouping val="clustered"/>
        <c:ser>
          <c:idx val="0"/>
          <c:order val="0"/>
          <c:dLbls>
            <c:showVal val="1"/>
          </c:dLbls>
          <c:cat>
            <c:strRef>
              <c:f>'Search by Age'!$A$341:$A$342</c:f>
              <c:strCache>
                <c:ptCount val="2"/>
                <c:pt idx="0">
                  <c:v>Yes</c:v>
                </c:pt>
                <c:pt idx="1">
                  <c:v>No</c:v>
                </c:pt>
              </c:strCache>
            </c:strRef>
          </c:cat>
          <c:val>
            <c:numRef>
              <c:f>'Search by Age'!$D$341:$D$342</c:f>
              <c:numCache>
                <c:formatCode>0.0</c:formatCode>
                <c:ptCount val="2"/>
                <c:pt idx="0">
                  <c:v>0</c:v>
                </c:pt>
                <c:pt idx="1">
                  <c:v>0</c:v>
                </c:pt>
              </c:numCache>
            </c:numRef>
          </c:val>
        </c:ser>
        <c:dLbls/>
        <c:axId val="100934016"/>
        <c:axId val="100935552"/>
      </c:barChart>
      <c:catAx>
        <c:axId val="100934016"/>
        <c:scaling>
          <c:orientation val="minMax"/>
        </c:scaling>
        <c:axPos val="b"/>
        <c:numFmt formatCode="General" sourceLinked="1"/>
        <c:majorTickMark val="none"/>
        <c:tickLblPos val="nextTo"/>
        <c:crossAx val="100935552"/>
        <c:crosses val="autoZero"/>
        <c:auto val="1"/>
        <c:lblAlgn val="ctr"/>
        <c:lblOffset val="100"/>
      </c:catAx>
      <c:valAx>
        <c:axId val="100935552"/>
        <c:scaling>
          <c:orientation val="minMax"/>
          <c:max val="100"/>
        </c:scaling>
        <c:axPos val="l"/>
        <c:majorGridlines/>
        <c:numFmt formatCode="0.0" sourceLinked="1"/>
        <c:majorTickMark val="none"/>
        <c:tickLblPos val="nextTo"/>
        <c:crossAx val="100934016"/>
        <c:crosses val="autoZero"/>
        <c:crossBetween val="between"/>
      </c:valAx>
    </c:plotArea>
    <c:plotVisOnly val="1"/>
    <c:dispBlanksAs val="gap"/>
  </c:chart>
  <c:printSettings>
    <c:headerFooter/>
    <c:pageMargins b="0.75000000000001044" l="0.70000000000000062" r="0.70000000000000062" t="0.75000000000001044" header="0.30000000000000032" footer="0.30000000000000032"/>
    <c:pageSetup/>
  </c:printSettings>
</c:chartSpace>
</file>

<file path=xl/charts/chart104.xml><?xml version="1.0" encoding="utf-8"?>
<c:chartSpace xmlns:c="http://schemas.openxmlformats.org/drawingml/2006/chart" xmlns:a="http://schemas.openxmlformats.org/drawingml/2006/main" xmlns:r="http://schemas.openxmlformats.org/officeDocument/2006/relationships">
  <c:lang val="en-IE"/>
  <c:chart>
    <c:title>
      <c:tx>
        <c:strRef>
          <c:f>'Search by Health Card'!$A$10</c:f>
          <c:strCache>
            <c:ptCount val="1"/>
            <c:pt idx="0">
              <c:v>Gender</c:v>
            </c:pt>
          </c:strCache>
        </c:strRef>
      </c:tx>
    </c:title>
    <c:plotArea>
      <c:layout/>
      <c:barChart>
        <c:barDir val="col"/>
        <c:grouping val="clustered"/>
        <c:ser>
          <c:idx val="1"/>
          <c:order val="0"/>
          <c:dLbls>
            <c:showVal val="1"/>
          </c:dLbls>
          <c:cat>
            <c:strRef>
              <c:f>'Search by Health Card'!$A$12:$A$14</c:f>
              <c:strCache>
                <c:ptCount val="3"/>
                <c:pt idx="0">
                  <c:v>Male</c:v>
                </c:pt>
                <c:pt idx="1">
                  <c:v>Female</c:v>
                </c:pt>
                <c:pt idx="2">
                  <c:v>Other</c:v>
                </c:pt>
              </c:strCache>
            </c:strRef>
          </c:cat>
          <c:val>
            <c:numRef>
              <c:f>'Search by Health Card'!$D$12:$D$14</c:f>
              <c:numCache>
                <c:formatCode>0.0</c:formatCode>
                <c:ptCount val="3"/>
                <c:pt idx="0">
                  <c:v>0</c:v>
                </c:pt>
                <c:pt idx="1">
                  <c:v>0</c:v>
                </c:pt>
                <c:pt idx="2">
                  <c:v>0</c:v>
                </c:pt>
              </c:numCache>
            </c:numRef>
          </c:val>
        </c:ser>
        <c:dLbls/>
        <c:axId val="101009664"/>
        <c:axId val="101031936"/>
      </c:barChart>
      <c:catAx>
        <c:axId val="101009664"/>
        <c:scaling>
          <c:orientation val="minMax"/>
        </c:scaling>
        <c:axPos val="b"/>
        <c:majorTickMark val="none"/>
        <c:tickLblPos val="nextTo"/>
        <c:crossAx val="101031936"/>
        <c:crosses val="autoZero"/>
        <c:auto val="1"/>
        <c:lblAlgn val="ctr"/>
        <c:lblOffset val="100"/>
      </c:catAx>
      <c:valAx>
        <c:axId val="101031936"/>
        <c:scaling>
          <c:orientation val="minMax"/>
          <c:max val="100"/>
        </c:scaling>
        <c:axPos val="l"/>
        <c:majorGridlines/>
        <c:numFmt formatCode="0.0" sourceLinked="1"/>
        <c:majorTickMark val="none"/>
        <c:tickLblPos val="nextTo"/>
        <c:crossAx val="101009664"/>
        <c:crosses val="autoZero"/>
        <c:crossBetween val="between"/>
      </c:valAx>
    </c:plotArea>
    <c:plotVisOnly val="1"/>
    <c:dispBlanksAs val="gap"/>
  </c:chart>
  <c:printSettings>
    <c:headerFooter/>
    <c:pageMargins b="0.750000000000004" l="0.70000000000000062" r="0.70000000000000062" t="0.750000000000004" header="0.30000000000000032" footer="0.30000000000000032"/>
    <c:pageSetup/>
  </c:printSettings>
</c:chartSpace>
</file>

<file path=xl/charts/chart105.xml><?xml version="1.0" encoding="utf-8"?>
<c:chartSpace xmlns:c="http://schemas.openxmlformats.org/drawingml/2006/chart" xmlns:a="http://schemas.openxmlformats.org/drawingml/2006/main" xmlns:r="http://schemas.openxmlformats.org/officeDocument/2006/relationships">
  <c:lang val="en-IE"/>
  <c:chart>
    <c:title>
      <c:tx>
        <c:strRef>
          <c:f>'Search by Health Card'!$A$19</c:f>
          <c:strCache>
            <c:ptCount val="1"/>
            <c:pt idx="0">
              <c:v>Age category</c:v>
            </c:pt>
          </c:strCache>
        </c:strRef>
      </c:tx>
    </c:title>
    <c:plotArea>
      <c:layout/>
      <c:barChart>
        <c:barDir val="col"/>
        <c:grouping val="clustered"/>
        <c:ser>
          <c:idx val="0"/>
          <c:order val="0"/>
          <c:dLbls>
            <c:showVal val="1"/>
          </c:dLbls>
          <c:cat>
            <c:strRef>
              <c:f>'Search by Health Card'!$A$21:$A$26</c:f>
              <c:strCache>
                <c:ptCount val="6"/>
                <c:pt idx="0">
                  <c:v>Under 18 years of age</c:v>
                </c:pt>
                <c:pt idx="1">
                  <c:v>18-24yrs</c:v>
                </c:pt>
                <c:pt idx="2">
                  <c:v>25-44yrs</c:v>
                </c:pt>
                <c:pt idx="3">
                  <c:v>45-64yrs</c:v>
                </c:pt>
                <c:pt idx="4">
                  <c:v>65-74yrs</c:v>
                </c:pt>
                <c:pt idx="5">
                  <c:v>75 years +</c:v>
                </c:pt>
              </c:strCache>
            </c:strRef>
          </c:cat>
          <c:val>
            <c:numRef>
              <c:f>'Search by Health Card'!$D$21:$D$26</c:f>
              <c:numCache>
                <c:formatCode>0.0</c:formatCode>
                <c:ptCount val="6"/>
                <c:pt idx="0">
                  <c:v>0</c:v>
                </c:pt>
                <c:pt idx="1">
                  <c:v>0</c:v>
                </c:pt>
                <c:pt idx="2">
                  <c:v>0</c:v>
                </c:pt>
                <c:pt idx="3">
                  <c:v>0</c:v>
                </c:pt>
                <c:pt idx="4">
                  <c:v>0</c:v>
                </c:pt>
                <c:pt idx="5">
                  <c:v>0</c:v>
                </c:pt>
              </c:numCache>
            </c:numRef>
          </c:val>
        </c:ser>
        <c:dLbls/>
        <c:axId val="101461376"/>
        <c:axId val="101475456"/>
      </c:barChart>
      <c:catAx>
        <c:axId val="101461376"/>
        <c:scaling>
          <c:orientation val="minMax"/>
        </c:scaling>
        <c:axPos val="b"/>
        <c:majorTickMark val="none"/>
        <c:tickLblPos val="nextTo"/>
        <c:crossAx val="101475456"/>
        <c:crosses val="autoZero"/>
        <c:auto val="1"/>
        <c:lblAlgn val="ctr"/>
        <c:lblOffset val="100"/>
      </c:catAx>
      <c:valAx>
        <c:axId val="101475456"/>
        <c:scaling>
          <c:orientation val="minMax"/>
          <c:max val="100"/>
        </c:scaling>
        <c:axPos val="l"/>
        <c:majorGridlines/>
        <c:numFmt formatCode="0.0" sourceLinked="1"/>
        <c:majorTickMark val="none"/>
        <c:tickLblPos val="nextTo"/>
        <c:crossAx val="101461376"/>
        <c:crosses val="autoZero"/>
        <c:crossBetween val="between"/>
      </c:valAx>
    </c:plotArea>
    <c:plotVisOnly val="1"/>
    <c:dispBlanksAs val="gap"/>
  </c:chart>
  <c:printSettings>
    <c:headerFooter/>
    <c:pageMargins b="0.75000000000000422" l="0.70000000000000062" r="0.70000000000000062" t="0.75000000000000422" header="0.30000000000000032" footer="0.30000000000000032"/>
    <c:pageSetup/>
  </c:printSettings>
</c:chartSpace>
</file>

<file path=xl/charts/chart106.xml><?xml version="1.0" encoding="utf-8"?>
<c:chartSpace xmlns:c="http://schemas.openxmlformats.org/drawingml/2006/chart" xmlns:a="http://schemas.openxmlformats.org/drawingml/2006/main" xmlns:r="http://schemas.openxmlformats.org/officeDocument/2006/relationships">
  <c:lang val="en-IE"/>
  <c:chart>
    <c:title>
      <c:tx>
        <c:strRef>
          <c:f>'Search by Health Card'!$A$32</c:f>
          <c:strCache>
            <c:ptCount val="1"/>
            <c:pt idx="0">
              <c:v>Holder of Health cards</c:v>
            </c:pt>
          </c:strCache>
        </c:strRef>
      </c:tx>
    </c:title>
    <c:plotArea>
      <c:layout/>
      <c:barChart>
        <c:barDir val="col"/>
        <c:grouping val="clustered"/>
        <c:ser>
          <c:idx val="1"/>
          <c:order val="0"/>
          <c:dLbls>
            <c:showVal val="1"/>
          </c:dLbls>
          <c:cat>
            <c:strRef>
              <c:f>'Search by Health Card'!$A$34:$A$42</c:f>
              <c:strCache>
                <c:ptCount val="9"/>
                <c:pt idx="0">
                  <c:v>Medical Card</c:v>
                </c:pt>
                <c:pt idx="1">
                  <c:v>GP Visit Card</c:v>
                </c:pt>
                <c:pt idx="2">
                  <c:v>Long-term Illness Card</c:v>
                </c:pt>
                <c:pt idx="3">
                  <c:v>Health Amendment Act Card</c:v>
                </c:pt>
                <c:pt idx="4">
                  <c:v>European Health Insurance Card</c:v>
                </c:pt>
                <c:pt idx="5">
                  <c:v>Drug Payment Scheme Card</c:v>
                </c:pt>
                <c:pt idx="6">
                  <c:v>Other</c:v>
                </c:pt>
                <c:pt idx="7">
                  <c:v>2 or more of the above cards</c:v>
                </c:pt>
                <c:pt idx="8">
                  <c:v>None of these</c:v>
                </c:pt>
              </c:strCache>
            </c:strRef>
          </c:cat>
          <c:val>
            <c:numRef>
              <c:f>'Search by Health Card'!$D$34:$D$42</c:f>
              <c:numCache>
                <c:formatCode>0.0</c:formatCode>
                <c:ptCount val="9"/>
                <c:pt idx="0">
                  <c:v>0</c:v>
                </c:pt>
                <c:pt idx="1">
                  <c:v>0</c:v>
                </c:pt>
                <c:pt idx="2">
                  <c:v>0</c:v>
                </c:pt>
                <c:pt idx="3">
                  <c:v>0</c:v>
                </c:pt>
                <c:pt idx="4">
                  <c:v>0</c:v>
                </c:pt>
                <c:pt idx="5">
                  <c:v>0</c:v>
                </c:pt>
                <c:pt idx="6">
                  <c:v>0</c:v>
                </c:pt>
                <c:pt idx="7">
                  <c:v>0</c:v>
                </c:pt>
                <c:pt idx="8">
                  <c:v>0</c:v>
                </c:pt>
              </c:numCache>
            </c:numRef>
          </c:val>
        </c:ser>
        <c:dLbls/>
        <c:axId val="101495552"/>
        <c:axId val="101497088"/>
      </c:barChart>
      <c:catAx>
        <c:axId val="101495552"/>
        <c:scaling>
          <c:orientation val="minMax"/>
        </c:scaling>
        <c:axPos val="b"/>
        <c:majorTickMark val="none"/>
        <c:tickLblPos val="nextTo"/>
        <c:crossAx val="101497088"/>
        <c:crosses val="autoZero"/>
        <c:auto val="1"/>
        <c:lblAlgn val="ctr"/>
        <c:lblOffset val="100"/>
      </c:catAx>
      <c:valAx>
        <c:axId val="101497088"/>
        <c:scaling>
          <c:orientation val="minMax"/>
          <c:max val="100"/>
        </c:scaling>
        <c:axPos val="l"/>
        <c:majorGridlines/>
        <c:numFmt formatCode="0.0" sourceLinked="1"/>
        <c:majorTickMark val="none"/>
        <c:tickLblPos val="nextTo"/>
        <c:crossAx val="101495552"/>
        <c:crosses val="autoZero"/>
        <c:crossBetween val="between"/>
      </c:valAx>
    </c:plotArea>
    <c:plotVisOnly val="1"/>
    <c:dispBlanksAs val="gap"/>
  </c:chart>
  <c:printSettings>
    <c:headerFooter/>
    <c:pageMargins b="0.75000000000000444" l="0.70000000000000062" r="0.70000000000000062" t="0.75000000000000444" header="0.30000000000000032" footer="0.30000000000000032"/>
    <c:pageSetup/>
  </c:printSettings>
</c:chartSpace>
</file>

<file path=xl/charts/chart107.xml><?xml version="1.0" encoding="utf-8"?>
<c:chartSpace xmlns:c="http://schemas.openxmlformats.org/drawingml/2006/chart" xmlns:a="http://schemas.openxmlformats.org/drawingml/2006/main" xmlns:r="http://schemas.openxmlformats.org/officeDocument/2006/relationships">
  <c:lang val="en-IE"/>
  <c:chart>
    <c:title>
      <c:tx>
        <c:strRef>
          <c:f>'Search by Health Card'!$A$47</c:f>
          <c:strCache>
            <c:ptCount val="1"/>
            <c:pt idx="0">
              <c:v>Use of Interpreter Services</c:v>
            </c:pt>
          </c:strCache>
        </c:strRef>
      </c:tx>
    </c:title>
    <c:plotArea>
      <c:layout/>
      <c:barChart>
        <c:barDir val="col"/>
        <c:grouping val="clustered"/>
        <c:ser>
          <c:idx val="0"/>
          <c:order val="0"/>
          <c:dLbls>
            <c:showVal val="1"/>
          </c:dLbls>
          <c:cat>
            <c:strRef>
              <c:f>'Search by Health Card'!$A$49:$A$51</c:f>
              <c:strCache>
                <c:ptCount val="3"/>
                <c:pt idx="0">
                  <c:v>I did not use an interpreter for my appointment</c:v>
                </c:pt>
                <c:pt idx="1">
                  <c:v>I used a Sign interpreter</c:v>
                </c:pt>
                <c:pt idx="2">
                  <c:v>I used a Language interpreter</c:v>
                </c:pt>
              </c:strCache>
            </c:strRef>
          </c:cat>
          <c:val>
            <c:numRef>
              <c:f>'Search by Health Card'!$D$49:$D$51</c:f>
              <c:numCache>
                <c:formatCode>0.0</c:formatCode>
                <c:ptCount val="3"/>
                <c:pt idx="0">
                  <c:v>0</c:v>
                </c:pt>
                <c:pt idx="1">
                  <c:v>0</c:v>
                </c:pt>
                <c:pt idx="2">
                  <c:v>0</c:v>
                </c:pt>
              </c:numCache>
            </c:numRef>
          </c:val>
        </c:ser>
        <c:dLbls/>
        <c:axId val="101513088"/>
        <c:axId val="101514624"/>
      </c:barChart>
      <c:catAx>
        <c:axId val="101513088"/>
        <c:scaling>
          <c:orientation val="minMax"/>
        </c:scaling>
        <c:axPos val="b"/>
        <c:majorTickMark val="none"/>
        <c:tickLblPos val="nextTo"/>
        <c:crossAx val="101514624"/>
        <c:crosses val="autoZero"/>
        <c:auto val="1"/>
        <c:lblAlgn val="ctr"/>
        <c:lblOffset val="100"/>
      </c:catAx>
      <c:valAx>
        <c:axId val="101514624"/>
        <c:scaling>
          <c:orientation val="minMax"/>
          <c:max val="100"/>
        </c:scaling>
        <c:axPos val="l"/>
        <c:majorGridlines/>
        <c:numFmt formatCode="0.0" sourceLinked="1"/>
        <c:majorTickMark val="none"/>
        <c:tickLblPos val="nextTo"/>
        <c:crossAx val="101513088"/>
        <c:crosses val="autoZero"/>
        <c:crossBetween val="between"/>
      </c:valAx>
    </c:plotArea>
    <c:plotVisOnly val="1"/>
    <c:dispBlanksAs val="gap"/>
  </c:chart>
  <c:printSettings>
    <c:headerFooter/>
    <c:pageMargins b="0.75000000000000466" l="0.70000000000000062" r="0.70000000000000062" t="0.75000000000000466" header="0.30000000000000032" footer="0.30000000000000032"/>
    <c:pageSetup/>
  </c:printSettings>
</c:chartSpace>
</file>

<file path=xl/charts/chart108.xml><?xml version="1.0" encoding="utf-8"?>
<c:chartSpace xmlns:c="http://schemas.openxmlformats.org/drawingml/2006/chart" xmlns:a="http://schemas.openxmlformats.org/drawingml/2006/main" xmlns:r="http://schemas.openxmlformats.org/officeDocument/2006/relationships">
  <c:lang val="en-IE"/>
  <c:chart>
    <c:title>
      <c:tx>
        <c:strRef>
          <c:f>'Search by Health Card'!$A$56</c:f>
          <c:strCache>
            <c:ptCount val="1"/>
            <c:pt idx="0">
              <c:v>Patients Country of Origin.</c:v>
            </c:pt>
          </c:strCache>
        </c:strRef>
      </c:tx>
    </c:title>
    <c:plotArea>
      <c:layout/>
      <c:barChart>
        <c:barDir val="col"/>
        <c:grouping val="clustered"/>
        <c:ser>
          <c:idx val="1"/>
          <c:order val="0"/>
          <c:dLbls>
            <c:showVal val="1"/>
          </c:dLbls>
          <c:cat>
            <c:strRef>
              <c:f>'Search by Health Card'!$A$58:$A$62</c:f>
              <c:strCache>
                <c:ptCount val="5"/>
                <c:pt idx="0">
                  <c:v>Ireland</c:v>
                </c:pt>
                <c:pt idx="1">
                  <c:v>United Kingdom</c:v>
                </c:pt>
                <c:pt idx="2">
                  <c:v>EU</c:v>
                </c:pt>
                <c:pt idx="3">
                  <c:v>Non-EU</c:v>
                </c:pt>
                <c:pt idx="4">
                  <c:v>Other</c:v>
                </c:pt>
              </c:strCache>
            </c:strRef>
          </c:cat>
          <c:val>
            <c:numRef>
              <c:f>'Search by Health Card'!$D$58:$D$62</c:f>
              <c:numCache>
                <c:formatCode>0.0</c:formatCode>
                <c:ptCount val="5"/>
                <c:pt idx="0">
                  <c:v>0</c:v>
                </c:pt>
                <c:pt idx="1">
                  <c:v>0</c:v>
                </c:pt>
                <c:pt idx="2">
                  <c:v>0</c:v>
                </c:pt>
                <c:pt idx="3">
                  <c:v>0</c:v>
                </c:pt>
                <c:pt idx="4">
                  <c:v>0</c:v>
                </c:pt>
              </c:numCache>
            </c:numRef>
          </c:val>
        </c:ser>
        <c:dLbls/>
        <c:axId val="101395456"/>
        <c:axId val="101434112"/>
      </c:barChart>
      <c:catAx>
        <c:axId val="101395456"/>
        <c:scaling>
          <c:orientation val="minMax"/>
        </c:scaling>
        <c:axPos val="b"/>
        <c:majorTickMark val="none"/>
        <c:tickLblPos val="nextTo"/>
        <c:crossAx val="101434112"/>
        <c:crosses val="autoZero"/>
        <c:auto val="1"/>
        <c:lblAlgn val="ctr"/>
        <c:lblOffset val="100"/>
      </c:catAx>
      <c:valAx>
        <c:axId val="101434112"/>
        <c:scaling>
          <c:orientation val="minMax"/>
          <c:max val="100"/>
        </c:scaling>
        <c:axPos val="l"/>
        <c:majorGridlines/>
        <c:numFmt formatCode="0.0" sourceLinked="1"/>
        <c:majorTickMark val="none"/>
        <c:tickLblPos val="nextTo"/>
        <c:crossAx val="101395456"/>
        <c:crosses val="autoZero"/>
        <c:crossBetween val="between"/>
      </c:valAx>
    </c:plotArea>
    <c:plotVisOnly val="1"/>
    <c:dispBlanksAs val="gap"/>
  </c:chart>
  <c:printSettings>
    <c:headerFooter/>
    <c:pageMargins b="0.75000000000000488" l="0.70000000000000062" r="0.70000000000000062" t="0.75000000000000488" header="0.30000000000000032" footer="0.30000000000000032"/>
    <c:pageSetup/>
  </c:printSettings>
</c:chartSpace>
</file>

<file path=xl/charts/chart109.xml><?xml version="1.0" encoding="utf-8"?>
<c:chartSpace xmlns:c="http://schemas.openxmlformats.org/drawingml/2006/chart" xmlns:a="http://schemas.openxmlformats.org/drawingml/2006/main" xmlns:r="http://schemas.openxmlformats.org/officeDocument/2006/relationships">
  <c:lang val="en-IE"/>
  <c:chart>
    <c:title>
      <c:tx>
        <c:strRef>
          <c:f>'Search by Health Card'!$A$67</c:f>
          <c:strCache>
            <c:ptCount val="1"/>
            <c:pt idx="0">
              <c:v>Primary Care Team services attended on day of survey</c:v>
            </c:pt>
          </c:strCache>
        </c:strRef>
      </c:tx>
    </c:title>
    <c:plotArea>
      <c:layout/>
      <c:barChart>
        <c:barDir val="col"/>
        <c:grouping val="clustered"/>
        <c:ser>
          <c:idx val="0"/>
          <c:order val="0"/>
          <c:dLbls>
            <c:showVal val="1"/>
          </c:dLbls>
          <c:cat>
            <c:strRef>
              <c:f>'Search by Health Card'!$A$69:$A$85</c:f>
              <c:strCache>
                <c:ptCount val="17"/>
                <c:pt idx="0">
                  <c:v>GP</c:v>
                </c:pt>
                <c:pt idx="1">
                  <c:v>Practice Nurse</c:v>
                </c:pt>
                <c:pt idx="2">
                  <c:v>Public Health Nurse or Community Nurse</c:v>
                </c:pt>
                <c:pt idx="3">
                  <c:v>Physiotherapist</c:v>
                </c:pt>
                <c:pt idx="4">
                  <c:v>Occupational Therapist</c:v>
                </c:pt>
                <c:pt idx="5">
                  <c:v>SLT</c:v>
                </c:pt>
                <c:pt idx="6">
                  <c:v>Dentist</c:v>
                </c:pt>
                <c:pt idx="7">
                  <c:v>Dental Hygienist/ Nurse</c:v>
                </c:pt>
                <c:pt idx="8">
                  <c:v>Podiatrist/ Chiropodist</c:v>
                </c:pt>
                <c:pt idx="9">
                  <c:v>Dietician</c:v>
                </c:pt>
                <c:pt idx="10">
                  <c:v>Psychology</c:v>
                </c:pt>
                <c:pt idx="11">
                  <c:v>Orthodontic</c:v>
                </c:pt>
                <c:pt idx="12">
                  <c:v>Social Work</c:v>
                </c:pt>
                <c:pt idx="13">
                  <c:v>Ophthalmic</c:v>
                </c:pt>
                <c:pt idx="14">
                  <c:v>Audiology</c:v>
                </c:pt>
                <c:pt idx="15">
                  <c:v>Another service</c:v>
                </c:pt>
                <c:pt idx="16">
                  <c:v>Attended more than one service</c:v>
                </c:pt>
              </c:strCache>
            </c:strRef>
          </c:cat>
          <c:val>
            <c:numRef>
              <c:f>'Search by Health Card'!$D$69:$D$85</c:f>
              <c:numCache>
                <c:formatCode>0.0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ser>
        <c:dLbls/>
        <c:axId val="101523840"/>
        <c:axId val="101525376"/>
      </c:barChart>
      <c:catAx>
        <c:axId val="101523840"/>
        <c:scaling>
          <c:orientation val="minMax"/>
        </c:scaling>
        <c:axPos val="b"/>
        <c:majorTickMark val="none"/>
        <c:tickLblPos val="nextTo"/>
        <c:crossAx val="101525376"/>
        <c:crosses val="autoZero"/>
        <c:auto val="1"/>
        <c:lblAlgn val="ctr"/>
        <c:lblOffset val="100"/>
      </c:catAx>
      <c:valAx>
        <c:axId val="101525376"/>
        <c:scaling>
          <c:orientation val="minMax"/>
          <c:max val="100"/>
        </c:scaling>
        <c:axPos val="l"/>
        <c:majorGridlines/>
        <c:numFmt formatCode="0.0" sourceLinked="1"/>
        <c:majorTickMark val="none"/>
        <c:tickLblPos val="nextTo"/>
        <c:crossAx val="101523840"/>
        <c:crosses val="autoZero"/>
        <c:crossBetween val="between"/>
      </c:valAx>
    </c:plotArea>
    <c:plotVisOnly val="1"/>
    <c:dispBlanksAs val="gap"/>
  </c:chart>
  <c:printSettings>
    <c:headerFooter/>
    <c:pageMargins b="0.75000000000000511" l="0.70000000000000062" r="0.70000000000000062" t="0.750000000000005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IE"/>
  <c:chart>
    <c:title>
      <c:tx>
        <c:rich>
          <a:bodyPr/>
          <a:lstStyle/>
          <a:p>
            <a:pPr>
              <a:defRPr/>
            </a:pPr>
            <a:r>
              <a:rPr lang="en-IE"/>
              <a:t>Buildings and Facilities - Cleanliness and tidiness</a:t>
            </a:r>
          </a:p>
        </c:rich>
      </c:tx>
    </c:title>
    <c:plotArea>
      <c:layout/>
      <c:barChart>
        <c:barDir val="col"/>
        <c:grouping val="clustered"/>
        <c:ser>
          <c:idx val="0"/>
          <c:order val="0"/>
          <c:dLbls>
            <c:showVal val="1"/>
          </c:dLbls>
          <c:cat>
            <c:strRef>
              <c:f>OverallResults!$A$135:$A$136</c:f>
              <c:strCache>
                <c:ptCount val="2"/>
                <c:pt idx="0">
                  <c:v>Yes</c:v>
                </c:pt>
                <c:pt idx="1">
                  <c:v>No</c:v>
                </c:pt>
              </c:strCache>
            </c:strRef>
          </c:cat>
          <c:val>
            <c:numRef>
              <c:f>OverallResults!$D$135:$D$136</c:f>
              <c:numCache>
                <c:formatCode>0.0</c:formatCode>
                <c:ptCount val="2"/>
                <c:pt idx="0">
                  <c:v>0</c:v>
                </c:pt>
                <c:pt idx="1">
                  <c:v>0</c:v>
                </c:pt>
              </c:numCache>
            </c:numRef>
          </c:val>
        </c:ser>
        <c:dLbls/>
        <c:axId val="80101760"/>
        <c:axId val="80103296"/>
      </c:barChart>
      <c:catAx>
        <c:axId val="80101760"/>
        <c:scaling>
          <c:orientation val="minMax"/>
        </c:scaling>
        <c:axPos val="b"/>
        <c:majorTickMark val="none"/>
        <c:tickLblPos val="nextTo"/>
        <c:crossAx val="80103296"/>
        <c:crosses val="autoZero"/>
        <c:auto val="1"/>
        <c:lblAlgn val="ctr"/>
        <c:lblOffset val="100"/>
      </c:catAx>
      <c:valAx>
        <c:axId val="80103296"/>
        <c:scaling>
          <c:orientation val="minMax"/>
          <c:max val="100"/>
        </c:scaling>
        <c:axPos val="l"/>
        <c:majorGridlines/>
        <c:numFmt formatCode="0.0" sourceLinked="1"/>
        <c:majorTickMark val="none"/>
        <c:tickLblPos val="nextTo"/>
        <c:crossAx val="80101760"/>
        <c:crosses val="autoZero"/>
        <c:crossBetween val="between"/>
      </c:valAx>
    </c:plotArea>
    <c:plotVisOnly val="1"/>
    <c:dispBlanksAs val="gap"/>
  </c:chart>
  <c:printSettings>
    <c:headerFooter/>
    <c:pageMargins b="0.75000000000000555" l="0.70000000000000062" r="0.70000000000000062" t="0.75000000000000555" header="0.30000000000000032" footer="0.30000000000000032"/>
    <c:pageSetup/>
  </c:printSettings>
</c:chartSpace>
</file>

<file path=xl/charts/chart110.xml><?xml version="1.0" encoding="utf-8"?>
<c:chartSpace xmlns:c="http://schemas.openxmlformats.org/drawingml/2006/chart" xmlns:a="http://schemas.openxmlformats.org/drawingml/2006/main" xmlns:r="http://schemas.openxmlformats.org/officeDocument/2006/relationships">
  <c:lang val="en-IE"/>
  <c:chart>
    <c:title>
      <c:tx>
        <c:strRef>
          <c:f>'Search by Health Card'!$A$90</c:f>
          <c:strCache>
            <c:ptCount val="1"/>
            <c:pt idx="0">
              <c:v>Patient's experience of accessing the service</c:v>
            </c:pt>
          </c:strCache>
        </c:strRef>
      </c:tx>
    </c:title>
    <c:plotArea>
      <c:layout/>
      <c:barChart>
        <c:barDir val="col"/>
        <c:grouping val="clustered"/>
        <c:ser>
          <c:idx val="1"/>
          <c:order val="0"/>
          <c:dLbls>
            <c:showVal val="1"/>
          </c:dLbls>
          <c:cat>
            <c:strRef>
              <c:f>'Search by Health Card'!$A$92:$A$98</c:f>
              <c:strCache>
                <c:ptCount val="7"/>
                <c:pt idx="0">
                  <c:v>I had no difficulties accessing the service.</c:v>
                </c:pt>
                <c:pt idx="1">
                  <c:v>The opening times were not suitable.</c:v>
                </c:pt>
                <c:pt idx="2">
                  <c:v>The waiting times for an appointment were too long.</c:v>
                </c:pt>
                <c:pt idx="3">
                  <c:v>The service I needed had not been available within the primary care team until now.</c:v>
                </c:pt>
                <c:pt idx="4">
                  <c:v>I could only get a referral to the service through another service.</c:v>
                </c:pt>
                <c:pt idx="5">
                  <c:v>Other difficulty</c:v>
                </c:pt>
                <c:pt idx="6">
                  <c:v>More than one difficulty</c:v>
                </c:pt>
              </c:strCache>
            </c:strRef>
          </c:cat>
          <c:val>
            <c:numRef>
              <c:f>'Search by Health Card'!$D$92:$D$98</c:f>
              <c:numCache>
                <c:formatCode>0.0</c:formatCode>
                <c:ptCount val="7"/>
                <c:pt idx="0">
                  <c:v>0</c:v>
                </c:pt>
                <c:pt idx="1">
                  <c:v>0</c:v>
                </c:pt>
                <c:pt idx="2">
                  <c:v>0</c:v>
                </c:pt>
                <c:pt idx="3">
                  <c:v>0</c:v>
                </c:pt>
                <c:pt idx="4">
                  <c:v>0</c:v>
                </c:pt>
                <c:pt idx="5">
                  <c:v>0</c:v>
                </c:pt>
                <c:pt idx="6">
                  <c:v>0</c:v>
                </c:pt>
              </c:numCache>
            </c:numRef>
          </c:val>
        </c:ser>
        <c:dLbls/>
        <c:axId val="101575296"/>
        <c:axId val="101577088"/>
      </c:barChart>
      <c:catAx>
        <c:axId val="101575296"/>
        <c:scaling>
          <c:orientation val="minMax"/>
        </c:scaling>
        <c:axPos val="b"/>
        <c:majorTickMark val="none"/>
        <c:tickLblPos val="nextTo"/>
        <c:txPr>
          <a:bodyPr/>
          <a:lstStyle/>
          <a:p>
            <a:pPr>
              <a:defRPr sz="800"/>
            </a:pPr>
            <a:endParaRPr lang="en-US"/>
          </a:p>
        </c:txPr>
        <c:crossAx val="101577088"/>
        <c:crosses val="autoZero"/>
        <c:auto val="1"/>
        <c:lblAlgn val="ctr"/>
        <c:lblOffset val="100"/>
      </c:catAx>
      <c:valAx>
        <c:axId val="101577088"/>
        <c:scaling>
          <c:orientation val="minMax"/>
          <c:max val="100"/>
        </c:scaling>
        <c:axPos val="l"/>
        <c:majorGridlines/>
        <c:numFmt formatCode="0.0" sourceLinked="1"/>
        <c:majorTickMark val="none"/>
        <c:tickLblPos val="nextTo"/>
        <c:crossAx val="101575296"/>
        <c:crosses val="autoZero"/>
        <c:crossBetween val="between"/>
      </c:valAx>
    </c:plotArea>
    <c:plotVisOnly val="1"/>
    <c:dispBlanksAs val="gap"/>
  </c:chart>
  <c:printSettings>
    <c:headerFooter/>
    <c:pageMargins b="0.75000000000000533" l="0.70000000000000062" r="0.70000000000000062" t="0.75000000000000533" header="0.30000000000000032" footer="0.30000000000000032"/>
    <c:pageSetup/>
  </c:printSettings>
</c:chartSpace>
</file>

<file path=xl/charts/chart111.xml><?xml version="1.0" encoding="utf-8"?>
<c:chartSpace xmlns:c="http://schemas.openxmlformats.org/drawingml/2006/chart" xmlns:a="http://schemas.openxmlformats.org/drawingml/2006/main" xmlns:r="http://schemas.openxmlformats.org/officeDocument/2006/relationships">
  <c:lang val="en-IE"/>
  <c:chart>
    <c:title>
      <c:tx>
        <c:strRef>
          <c:f>'Search by Health Card'!$A$103</c:f>
          <c:strCache>
            <c:ptCount val="1"/>
            <c:pt idx="0">
              <c:v>Place of patient's appointment</c:v>
            </c:pt>
          </c:strCache>
        </c:strRef>
      </c:tx>
    </c:title>
    <c:plotArea>
      <c:layout/>
      <c:barChart>
        <c:barDir val="col"/>
        <c:grouping val="clustered"/>
        <c:ser>
          <c:idx val="0"/>
          <c:order val="0"/>
          <c:dLbls>
            <c:showVal val="1"/>
          </c:dLbls>
          <c:cat>
            <c:strRef>
              <c:f>'Search by Health Card'!$A$105:$A$108</c:f>
              <c:strCache>
                <c:ptCount val="4"/>
                <c:pt idx="0">
                  <c:v>Primary Care Health Centre</c:v>
                </c:pt>
                <c:pt idx="1">
                  <c:v>GP Surgery</c:v>
                </c:pt>
                <c:pt idx="2">
                  <c:v>Patient's Home</c:v>
                </c:pt>
                <c:pt idx="3">
                  <c:v>Another location</c:v>
                </c:pt>
              </c:strCache>
            </c:strRef>
          </c:cat>
          <c:val>
            <c:numRef>
              <c:f>'Search by Health Card'!$D$105:$D$108</c:f>
              <c:numCache>
                <c:formatCode>0.0</c:formatCode>
                <c:ptCount val="4"/>
                <c:pt idx="0">
                  <c:v>0</c:v>
                </c:pt>
                <c:pt idx="1">
                  <c:v>0</c:v>
                </c:pt>
                <c:pt idx="2">
                  <c:v>0</c:v>
                </c:pt>
                <c:pt idx="3">
                  <c:v>0</c:v>
                </c:pt>
              </c:numCache>
            </c:numRef>
          </c:val>
        </c:ser>
        <c:dLbls/>
        <c:axId val="101597184"/>
        <c:axId val="101598720"/>
      </c:barChart>
      <c:catAx>
        <c:axId val="101597184"/>
        <c:scaling>
          <c:orientation val="minMax"/>
        </c:scaling>
        <c:axPos val="b"/>
        <c:majorTickMark val="none"/>
        <c:tickLblPos val="nextTo"/>
        <c:crossAx val="101598720"/>
        <c:crosses val="autoZero"/>
        <c:auto val="1"/>
        <c:lblAlgn val="ctr"/>
        <c:lblOffset val="100"/>
      </c:catAx>
      <c:valAx>
        <c:axId val="101598720"/>
        <c:scaling>
          <c:orientation val="minMax"/>
          <c:max val="100"/>
        </c:scaling>
        <c:axPos val="l"/>
        <c:majorGridlines/>
        <c:numFmt formatCode="0.0" sourceLinked="1"/>
        <c:majorTickMark val="none"/>
        <c:tickLblPos val="nextTo"/>
        <c:crossAx val="101597184"/>
        <c:crosses val="autoZero"/>
        <c:crossBetween val="between"/>
      </c:valAx>
    </c:plotArea>
    <c:plotVisOnly val="1"/>
    <c:dispBlanksAs val="gap"/>
  </c:chart>
  <c:txPr>
    <a:bodyPr/>
    <a:lstStyle/>
    <a:p>
      <a:pPr>
        <a:defRPr b="1"/>
      </a:pPr>
      <a:endParaRPr lang="en-US"/>
    </a:p>
  </c:txPr>
  <c:printSettings>
    <c:headerFooter/>
    <c:pageMargins b="0.75000000000000555" l="0.70000000000000062" r="0.70000000000000062" t="0.75000000000000555" header="0.30000000000000032" footer="0.30000000000000032"/>
    <c:pageSetup/>
  </c:printSettings>
</c:chartSpace>
</file>

<file path=xl/charts/chart112.xml><?xml version="1.0" encoding="utf-8"?>
<c:chartSpace xmlns:c="http://schemas.openxmlformats.org/drawingml/2006/chart" xmlns:a="http://schemas.openxmlformats.org/drawingml/2006/main" xmlns:r="http://schemas.openxmlformats.org/officeDocument/2006/relationships">
  <c:lang val="en-IE"/>
  <c:chart>
    <c:title>
      <c:tx>
        <c:strRef>
          <c:f>'Search by Health Card'!$A$113</c:f>
          <c:strCache>
            <c:ptCount val="1"/>
            <c:pt idx="0">
              <c:v>Suitability of appointment time</c:v>
            </c:pt>
          </c:strCache>
        </c:strRef>
      </c:tx>
    </c:title>
    <c:plotArea>
      <c:layout/>
      <c:barChart>
        <c:barDir val="col"/>
        <c:grouping val="clustered"/>
        <c:ser>
          <c:idx val="1"/>
          <c:order val="0"/>
          <c:dLbls>
            <c:showVal val="1"/>
          </c:dLbls>
          <c:cat>
            <c:strRef>
              <c:f>'Search by Health Card'!$A$115:$A$119</c:f>
              <c:strCache>
                <c:ptCount val="5"/>
                <c:pt idx="0">
                  <c:v>The appointment time given to me was most suitable.</c:v>
                </c:pt>
                <c:pt idx="1">
                  <c:v>I would have preferred an appointment time before 9am.</c:v>
                </c:pt>
                <c:pt idx="2">
                  <c:v>I would have preferred an appointment time from 12pm-1pm.</c:v>
                </c:pt>
                <c:pt idx="3">
                  <c:v>I would have preferred an appointment time from 1pm-2pm.</c:v>
                </c:pt>
                <c:pt idx="4">
                  <c:v>I would have preferred an appointment time after 5pm.</c:v>
                </c:pt>
              </c:strCache>
            </c:strRef>
          </c:cat>
          <c:val>
            <c:numRef>
              <c:f>'Search by Health Card'!$D$115:$D$119</c:f>
              <c:numCache>
                <c:formatCode>0.0</c:formatCode>
                <c:ptCount val="5"/>
                <c:pt idx="0">
                  <c:v>0</c:v>
                </c:pt>
                <c:pt idx="1">
                  <c:v>0</c:v>
                </c:pt>
                <c:pt idx="2">
                  <c:v>0</c:v>
                </c:pt>
                <c:pt idx="3">
                  <c:v>0</c:v>
                </c:pt>
                <c:pt idx="4">
                  <c:v>0</c:v>
                </c:pt>
              </c:numCache>
            </c:numRef>
          </c:val>
        </c:ser>
        <c:dLbls/>
        <c:axId val="101638144"/>
        <c:axId val="101639680"/>
      </c:barChart>
      <c:catAx>
        <c:axId val="101638144"/>
        <c:scaling>
          <c:orientation val="minMax"/>
        </c:scaling>
        <c:axPos val="b"/>
        <c:majorTickMark val="none"/>
        <c:tickLblPos val="nextTo"/>
        <c:crossAx val="101639680"/>
        <c:crosses val="autoZero"/>
        <c:auto val="1"/>
        <c:lblAlgn val="ctr"/>
        <c:lblOffset val="100"/>
      </c:catAx>
      <c:valAx>
        <c:axId val="101639680"/>
        <c:scaling>
          <c:orientation val="minMax"/>
          <c:max val="100"/>
        </c:scaling>
        <c:axPos val="l"/>
        <c:majorGridlines/>
        <c:numFmt formatCode="0.0" sourceLinked="1"/>
        <c:majorTickMark val="none"/>
        <c:tickLblPos val="nextTo"/>
        <c:crossAx val="101638144"/>
        <c:crosses val="autoZero"/>
        <c:crossBetween val="between"/>
      </c:valAx>
    </c:plotArea>
    <c:plotVisOnly val="1"/>
    <c:dispBlanksAs val="gap"/>
  </c:chart>
  <c:printSettings>
    <c:headerFooter/>
    <c:pageMargins b="0.75000000000000577" l="0.70000000000000062" r="0.70000000000000062" t="0.75000000000000577" header="0.30000000000000032" footer="0.30000000000000032"/>
    <c:pageSetup/>
  </c:printSettings>
</c:chartSpace>
</file>

<file path=xl/charts/chart113.xml><?xml version="1.0" encoding="utf-8"?>
<c:chartSpace xmlns:c="http://schemas.openxmlformats.org/drawingml/2006/chart" xmlns:a="http://schemas.openxmlformats.org/drawingml/2006/main" xmlns:r="http://schemas.openxmlformats.org/officeDocument/2006/relationships">
  <c:lang val="en-IE"/>
  <c:chart>
    <c:title>
      <c:tx>
        <c:strRef>
          <c:f>'Search by Health Card'!$A$124</c:f>
          <c:strCache>
            <c:ptCount val="1"/>
            <c:pt idx="0">
              <c:v>Ease of access and use of the building during visit</c:v>
            </c:pt>
          </c:strCache>
        </c:strRef>
      </c:tx>
    </c:title>
    <c:plotArea>
      <c:layout/>
      <c:barChart>
        <c:barDir val="col"/>
        <c:grouping val="clustered"/>
        <c:ser>
          <c:idx val="0"/>
          <c:order val="0"/>
          <c:dLbls>
            <c:showVal val="1"/>
          </c:dLbls>
          <c:cat>
            <c:strRef>
              <c:f>'Search by Health Card'!$A$126:$A$129</c:f>
              <c:strCache>
                <c:ptCount val="4"/>
                <c:pt idx="0">
                  <c:v>Very easy</c:v>
                </c:pt>
                <c:pt idx="1">
                  <c:v>Easy</c:v>
                </c:pt>
                <c:pt idx="2">
                  <c:v>Difficult</c:v>
                </c:pt>
                <c:pt idx="3">
                  <c:v>Very difficult</c:v>
                </c:pt>
              </c:strCache>
            </c:strRef>
          </c:cat>
          <c:val>
            <c:numRef>
              <c:f>'Search by Health Card'!$D$126:$D$129</c:f>
              <c:numCache>
                <c:formatCode>0.0</c:formatCode>
                <c:ptCount val="4"/>
                <c:pt idx="0">
                  <c:v>0</c:v>
                </c:pt>
                <c:pt idx="1">
                  <c:v>0</c:v>
                </c:pt>
                <c:pt idx="2">
                  <c:v>0</c:v>
                </c:pt>
                <c:pt idx="3">
                  <c:v>0</c:v>
                </c:pt>
              </c:numCache>
            </c:numRef>
          </c:val>
        </c:ser>
        <c:dLbls/>
        <c:axId val="94000256"/>
        <c:axId val="94001792"/>
      </c:barChart>
      <c:catAx>
        <c:axId val="94000256"/>
        <c:scaling>
          <c:orientation val="minMax"/>
        </c:scaling>
        <c:axPos val="b"/>
        <c:majorTickMark val="none"/>
        <c:tickLblPos val="nextTo"/>
        <c:crossAx val="94001792"/>
        <c:crosses val="autoZero"/>
        <c:auto val="1"/>
        <c:lblAlgn val="ctr"/>
        <c:lblOffset val="100"/>
      </c:catAx>
      <c:valAx>
        <c:axId val="94001792"/>
        <c:scaling>
          <c:orientation val="minMax"/>
          <c:max val="100"/>
        </c:scaling>
        <c:axPos val="l"/>
        <c:majorGridlines/>
        <c:numFmt formatCode="0.0" sourceLinked="1"/>
        <c:majorTickMark val="none"/>
        <c:tickLblPos val="nextTo"/>
        <c:crossAx val="94000256"/>
        <c:crosses val="autoZero"/>
        <c:crossBetween val="between"/>
      </c:valAx>
    </c:plotArea>
    <c:plotVisOnly val="1"/>
    <c:dispBlanksAs val="gap"/>
  </c:chart>
  <c:printSettings>
    <c:headerFooter/>
    <c:pageMargins b="0.750000000000006" l="0.70000000000000062" r="0.70000000000000062" t="0.750000000000006" header="0.30000000000000032" footer="0.30000000000000032"/>
    <c:pageSetup/>
  </c:printSettings>
</c:chartSpace>
</file>

<file path=xl/charts/chart114.xml><?xml version="1.0" encoding="utf-8"?>
<c:chartSpace xmlns:c="http://schemas.openxmlformats.org/drawingml/2006/chart" xmlns:a="http://schemas.openxmlformats.org/drawingml/2006/main" xmlns:r="http://schemas.openxmlformats.org/officeDocument/2006/relationships">
  <c:lang val="en-IE"/>
  <c:chart>
    <c:title>
      <c:tx>
        <c:strRef>
          <c:f>'Search by Health Card'!$A$135</c:f>
          <c:strCache>
            <c:ptCount val="1"/>
            <c:pt idx="0">
              <c:v>Buildings and facilities cleanliness and tidiness</c:v>
            </c:pt>
          </c:strCache>
        </c:strRef>
      </c:tx>
    </c:title>
    <c:plotArea>
      <c:layout/>
      <c:barChart>
        <c:barDir val="col"/>
        <c:grouping val="clustered"/>
        <c:ser>
          <c:idx val="0"/>
          <c:order val="0"/>
          <c:dLbls>
            <c:showVal val="1"/>
          </c:dLbls>
          <c:cat>
            <c:strRef>
              <c:f>'Search by Health Card'!$A$137:$A$138</c:f>
              <c:strCache>
                <c:ptCount val="2"/>
                <c:pt idx="0">
                  <c:v>Yes</c:v>
                </c:pt>
                <c:pt idx="1">
                  <c:v>No</c:v>
                </c:pt>
              </c:strCache>
            </c:strRef>
          </c:cat>
          <c:val>
            <c:numRef>
              <c:f>'Search by Health Card'!$D$137:$D$138</c:f>
              <c:numCache>
                <c:formatCode>0.0</c:formatCode>
                <c:ptCount val="2"/>
                <c:pt idx="0">
                  <c:v>0</c:v>
                </c:pt>
                <c:pt idx="1">
                  <c:v>0</c:v>
                </c:pt>
              </c:numCache>
            </c:numRef>
          </c:val>
        </c:ser>
        <c:dLbls/>
        <c:axId val="101685504"/>
        <c:axId val="101691392"/>
      </c:barChart>
      <c:catAx>
        <c:axId val="101685504"/>
        <c:scaling>
          <c:orientation val="minMax"/>
        </c:scaling>
        <c:axPos val="b"/>
        <c:majorTickMark val="none"/>
        <c:tickLblPos val="nextTo"/>
        <c:crossAx val="101691392"/>
        <c:crosses val="autoZero"/>
        <c:auto val="1"/>
        <c:lblAlgn val="ctr"/>
        <c:lblOffset val="100"/>
      </c:catAx>
      <c:valAx>
        <c:axId val="101691392"/>
        <c:scaling>
          <c:orientation val="minMax"/>
          <c:max val="100"/>
        </c:scaling>
        <c:axPos val="l"/>
        <c:majorGridlines/>
        <c:numFmt formatCode="0.0" sourceLinked="1"/>
        <c:majorTickMark val="none"/>
        <c:tickLblPos val="nextTo"/>
        <c:crossAx val="101685504"/>
        <c:crosses val="autoZero"/>
        <c:crossBetween val="between"/>
      </c:valAx>
    </c:plotArea>
    <c:plotVisOnly val="1"/>
    <c:dispBlanksAs val="gap"/>
  </c:chart>
  <c:printSettings>
    <c:headerFooter/>
    <c:pageMargins b="0.75000000000000622" l="0.70000000000000062" r="0.70000000000000062" t="0.75000000000000622" header="0.30000000000000032" footer="0.30000000000000032"/>
    <c:pageSetup/>
  </c:printSettings>
</c:chartSpace>
</file>

<file path=xl/charts/chart115.xml><?xml version="1.0" encoding="utf-8"?>
<c:chartSpace xmlns:c="http://schemas.openxmlformats.org/drawingml/2006/chart" xmlns:a="http://schemas.openxmlformats.org/drawingml/2006/main" xmlns:r="http://schemas.openxmlformats.org/officeDocument/2006/relationships">
  <c:lang val="en-IE"/>
  <c:chart>
    <c:title>
      <c:tx>
        <c:strRef>
          <c:f>'Search by Health Card'!$A$144</c:f>
          <c:strCache>
            <c:ptCount val="1"/>
            <c:pt idx="0">
              <c:v>Time waiting to see the healthcare professional on day of survey</c:v>
            </c:pt>
          </c:strCache>
        </c:strRef>
      </c:tx>
    </c:title>
    <c:plotArea>
      <c:layout/>
      <c:barChart>
        <c:barDir val="col"/>
        <c:grouping val="clustered"/>
        <c:ser>
          <c:idx val="0"/>
          <c:order val="0"/>
          <c:dLbls>
            <c:showVal val="1"/>
          </c:dLbls>
          <c:cat>
            <c:strRef>
              <c:f>'Search by Health Card'!$A$146:$A$149</c:f>
              <c:strCache>
                <c:ptCount val="4"/>
                <c:pt idx="0">
                  <c:v>Less than 15 minutes</c:v>
                </c:pt>
                <c:pt idx="1">
                  <c:v>15 to 30 minutes</c:v>
                </c:pt>
                <c:pt idx="2">
                  <c:v>31 to 45 minutes</c:v>
                </c:pt>
                <c:pt idx="3">
                  <c:v>Over 45 minutes</c:v>
                </c:pt>
              </c:strCache>
            </c:strRef>
          </c:cat>
          <c:val>
            <c:numRef>
              <c:f>'Search by Health Card'!$D$146:$D$149</c:f>
              <c:numCache>
                <c:formatCode>0.0</c:formatCode>
                <c:ptCount val="4"/>
                <c:pt idx="0">
                  <c:v>0</c:v>
                </c:pt>
                <c:pt idx="1">
                  <c:v>0</c:v>
                </c:pt>
                <c:pt idx="2">
                  <c:v>0</c:v>
                </c:pt>
                <c:pt idx="3">
                  <c:v>0</c:v>
                </c:pt>
              </c:numCache>
            </c:numRef>
          </c:val>
        </c:ser>
        <c:dLbls/>
        <c:axId val="101703040"/>
        <c:axId val="101717120"/>
      </c:barChart>
      <c:catAx>
        <c:axId val="101703040"/>
        <c:scaling>
          <c:orientation val="minMax"/>
        </c:scaling>
        <c:axPos val="b"/>
        <c:majorTickMark val="none"/>
        <c:tickLblPos val="nextTo"/>
        <c:crossAx val="101717120"/>
        <c:crosses val="autoZero"/>
        <c:auto val="1"/>
        <c:lblAlgn val="ctr"/>
        <c:lblOffset val="100"/>
      </c:catAx>
      <c:valAx>
        <c:axId val="101717120"/>
        <c:scaling>
          <c:orientation val="minMax"/>
          <c:max val="100"/>
        </c:scaling>
        <c:axPos val="l"/>
        <c:majorGridlines/>
        <c:numFmt formatCode="0.0" sourceLinked="1"/>
        <c:majorTickMark val="none"/>
        <c:tickLblPos val="nextTo"/>
        <c:crossAx val="101703040"/>
        <c:crosses val="autoZero"/>
        <c:crossBetween val="between"/>
      </c:valAx>
    </c:plotArea>
    <c:plotVisOnly val="1"/>
    <c:dispBlanksAs val="gap"/>
  </c:chart>
  <c:printSettings>
    <c:headerFooter/>
    <c:pageMargins b="0.75000000000000644" l="0.70000000000000062" r="0.70000000000000062" t="0.75000000000000644" header="0.30000000000000032" footer="0.30000000000000032"/>
    <c:pageSetup/>
  </c:printSettings>
</c:chartSpace>
</file>

<file path=xl/charts/chart116.xml><?xml version="1.0" encoding="utf-8"?>
<c:chartSpace xmlns:c="http://schemas.openxmlformats.org/drawingml/2006/chart" xmlns:a="http://schemas.openxmlformats.org/drawingml/2006/main" xmlns:r="http://schemas.openxmlformats.org/officeDocument/2006/relationships">
  <c:lang val="en-IE"/>
  <c:chart>
    <c:title>
      <c:tx>
        <c:strRef>
          <c:f>'Search by Health Card'!$A$154</c:f>
          <c:strCache>
            <c:ptCount val="1"/>
            <c:pt idx="0">
              <c:v>Healthcare professional washed or cleaned their hands prior to patient contact</c:v>
            </c:pt>
          </c:strCache>
        </c:strRef>
      </c:tx>
    </c:title>
    <c:plotArea>
      <c:layout/>
      <c:barChart>
        <c:barDir val="col"/>
        <c:grouping val="clustered"/>
        <c:ser>
          <c:idx val="0"/>
          <c:order val="0"/>
          <c:dLbls>
            <c:showVal val="1"/>
          </c:dLbls>
          <c:cat>
            <c:strRef>
              <c:f>'Search by Health Card'!$A$156:$A$158</c:f>
              <c:strCache>
                <c:ptCount val="3"/>
                <c:pt idx="0">
                  <c:v>Yes</c:v>
                </c:pt>
                <c:pt idx="1">
                  <c:v>No</c:v>
                </c:pt>
                <c:pt idx="2">
                  <c:v>Can't recall</c:v>
                </c:pt>
              </c:strCache>
            </c:strRef>
          </c:cat>
          <c:val>
            <c:numRef>
              <c:f>'Search by Health Card'!$D$156:$D$158</c:f>
              <c:numCache>
                <c:formatCode>0.0</c:formatCode>
                <c:ptCount val="3"/>
                <c:pt idx="0">
                  <c:v>0</c:v>
                </c:pt>
                <c:pt idx="1">
                  <c:v>0</c:v>
                </c:pt>
                <c:pt idx="2">
                  <c:v>0</c:v>
                </c:pt>
              </c:numCache>
            </c:numRef>
          </c:val>
        </c:ser>
        <c:dLbls/>
        <c:axId val="101757696"/>
        <c:axId val="101759232"/>
      </c:barChart>
      <c:catAx>
        <c:axId val="101757696"/>
        <c:scaling>
          <c:orientation val="minMax"/>
        </c:scaling>
        <c:axPos val="b"/>
        <c:majorTickMark val="none"/>
        <c:tickLblPos val="nextTo"/>
        <c:crossAx val="101759232"/>
        <c:crosses val="autoZero"/>
        <c:auto val="1"/>
        <c:lblAlgn val="ctr"/>
        <c:lblOffset val="100"/>
      </c:catAx>
      <c:valAx>
        <c:axId val="101759232"/>
        <c:scaling>
          <c:orientation val="minMax"/>
          <c:max val="100"/>
        </c:scaling>
        <c:axPos val="l"/>
        <c:majorGridlines/>
        <c:numFmt formatCode="0.0" sourceLinked="1"/>
        <c:majorTickMark val="none"/>
        <c:tickLblPos val="nextTo"/>
        <c:crossAx val="101757696"/>
        <c:crosses val="autoZero"/>
        <c:crossBetween val="between"/>
      </c:valAx>
    </c:plotArea>
    <c:plotVisOnly val="1"/>
    <c:dispBlanksAs val="gap"/>
  </c:chart>
  <c:printSettings>
    <c:headerFooter/>
    <c:pageMargins b="0.75000000000000666" l="0.70000000000000062" r="0.70000000000000062" t="0.75000000000000666" header="0.30000000000000032" footer="0.30000000000000032"/>
    <c:pageSetup/>
  </c:printSettings>
</c:chartSpace>
</file>

<file path=xl/charts/chart117.xml><?xml version="1.0" encoding="utf-8"?>
<c:chartSpace xmlns:c="http://schemas.openxmlformats.org/drawingml/2006/chart" xmlns:a="http://schemas.openxmlformats.org/drawingml/2006/main" xmlns:r="http://schemas.openxmlformats.org/officeDocument/2006/relationships">
  <c:lang val="en-IE"/>
  <c:chart>
    <c:title>
      <c:tx>
        <c:strRef>
          <c:f>'Search by Health Card'!$A$163</c:f>
          <c:strCache>
            <c:ptCount val="1"/>
            <c:pt idx="0">
              <c:v>Healthcare professional introduced themselves to patient</c:v>
            </c:pt>
          </c:strCache>
        </c:strRef>
      </c:tx>
    </c:title>
    <c:plotArea>
      <c:layout/>
      <c:barChart>
        <c:barDir val="col"/>
        <c:grouping val="clustered"/>
        <c:ser>
          <c:idx val="0"/>
          <c:order val="0"/>
          <c:dLbls>
            <c:showVal val="1"/>
          </c:dLbls>
          <c:cat>
            <c:strRef>
              <c:f>'Search by Health Card'!$A$165:$A$167</c:f>
              <c:strCache>
                <c:ptCount val="3"/>
                <c:pt idx="0">
                  <c:v>Yes</c:v>
                </c:pt>
                <c:pt idx="1">
                  <c:v>No</c:v>
                </c:pt>
                <c:pt idx="2">
                  <c:v>Already known to me</c:v>
                </c:pt>
              </c:strCache>
            </c:strRef>
          </c:cat>
          <c:val>
            <c:numRef>
              <c:f>'Search by Health Card'!$D$165:$D$167</c:f>
              <c:numCache>
                <c:formatCode>0.0</c:formatCode>
                <c:ptCount val="3"/>
                <c:pt idx="0">
                  <c:v>0</c:v>
                </c:pt>
                <c:pt idx="1">
                  <c:v>0</c:v>
                </c:pt>
                <c:pt idx="2">
                  <c:v>0</c:v>
                </c:pt>
              </c:numCache>
            </c:numRef>
          </c:val>
        </c:ser>
        <c:dLbls/>
        <c:axId val="101853056"/>
        <c:axId val="101854592"/>
      </c:barChart>
      <c:catAx>
        <c:axId val="101853056"/>
        <c:scaling>
          <c:orientation val="minMax"/>
        </c:scaling>
        <c:axPos val="b"/>
        <c:majorTickMark val="none"/>
        <c:tickLblPos val="nextTo"/>
        <c:crossAx val="101854592"/>
        <c:crosses val="autoZero"/>
        <c:auto val="1"/>
        <c:lblAlgn val="ctr"/>
        <c:lblOffset val="100"/>
      </c:catAx>
      <c:valAx>
        <c:axId val="101854592"/>
        <c:scaling>
          <c:orientation val="minMax"/>
          <c:max val="100"/>
        </c:scaling>
        <c:axPos val="l"/>
        <c:majorGridlines/>
        <c:numFmt formatCode="0.0" sourceLinked="1"/>
        <c:majorTickMark val="none"/>
        <c:tickLblPos val="nextTo"/>
        <c:crossAx val="101853056"/>
        <c:crosses val="autoZero"/>
        <c:crossBetween val="between"/>
      </c:valAx>
    </c:plotArea>
    <c:plotVisOnly val="1"/>
    <c:dispBlanksAs val="gap"/>
  </c:chart>
  <c:printSettings>
    <c:headerFooter/>
    <c:pageMargins b="0.75000000000000688" l="0.70000000000000062" r="0.70000000000000062" t="0.75000000000000688" header="0.30000000000000032" footer="0.30000000000000032"/>
    <c:pageSetup/>
  </c:printSettings>
</c:chartSpace>
</file>

<file path=xl/charts/chart118.xml><?xml version="1.0" encoding="utf-8"?>
<c:chartSpace xmlns:c="http://schemas.openxmlformats.org/drawingml/2006/chart" xmlns:a="http://schemas.openxmlformats.org/drawingml/2006/main" xmlns:r="http://schemas.openxmlformats.org/officeDocument/2006/relationships">
  <c:lang val="en-IE"/>
  <c:chart>
    <c:title>
      <c:tx>
        <c:strRef>
          <c:f>'Search by Health Card'!$A$172</c:f>
          <c:strCache>
            <c:ptCount val="1"/>
            <c:pt idx="0">
              <c:v>Patient felt treated with kindness and respect during visit</c:v>
            </c:pt>
          </c:strCache>
        </c:strRef>
      </c:tx>
    </c:title>
    <c:plotArea>
      <c:layout/>
      <c:barChart>
        <c:barDir val="col"/>
        <c:grouping val="clustered"/>
        <c:ser>
          <c:idx val="0"/>
          <c:order val="0"/>
          <c:dLbls>
            <c:showVal val="1"/>
          </c:dLbls>
          <c:cat>
            <c:strRef>
              <c:f>'Search by Health Card'!$A$174:$A$175</c:f>
              <c:strCache>
                <c:ptCount val="2"/>
                <c:pt idx="0">
                  <c:v>Yes</c:v>
                </c:pt>
                <c:pt idx="1">
                  <c:v>No</c:v>
                </c:pt>
              </c:strCache>
            </c:strRef>
          </c:cat>
          <c:val>
            <c:numRef>
              <c:f>'Search by Health Card'!$D$174:$D$175</c:f>
              <c:numCache>
                <c:formatCode>0.0</c:formatCode>
                <c:ptCount val="2"/>
                <c:pt idx="0">
                  <c:v>0</c:v>
                </c:pt>
                <c:pt idx="1">
                  <c:v>0</c:v>
                </c:pt>
              </c:numCache>
            </c:numRef>
          </c:val>
        </c:ser>
        <c:dLbls/>
        <c:axId val="101870592"/>
        <c:axId val="101876480"/>
      </c:barChart>
      <c:catAx>
        <c:axId val="101870592"/>
        <c:scaling>
          <c:orientation val="minMax"/>
        </c:scaling>
        <c:axPos val="b"/>
        <c:majorTickMark val="none"/>
        <c:tickLblPos val="nextTo"/>
        <c:crossAx val="101876480"/>
        <c:crosses val="autoZero"/>
        <c:auto val="1"/>
        <c:lblAlgn val="ctr"/>
        <c:lblOffset val="100"/>
      </c:catAx>
      <c:valAx>
        <c:axId val="101876480"/>
        <c:scaling>
          <c:orientation val="minMax"/>
          <c:max val="100"/>
        </c:scaling>
        <c:axPos val="l"/>
        <c:majorGridlines/>
        <c:numFmt formatCode="0.0" sourceLinked="1"/>
        <c:majorTickMark val="none"/>
        <c:tickLblPos val="nextTo"/>
        <c:crossAx val="101870592"/>
        <c:crosses val="autoZero"/>
        <c:crossBetween val="between"/>
      </c:valAx>
    </c:plotArea>
    <c:plotVisOnly val="1"/>
    <c:dispBlanksAs val="gap"/>
  </c:chart>
  <c:printSettings>
    <c:headerFooter/>
    <c:pageMargins b="0.75000000000000711" l="0.70000000000000062" r="0.70000000000000062" t="0.75000000000000711" header="0.30000000000000032" footer="0.30000000000000032"/>
    <c:pageSetup/>
  </c:printSettings>
</c:chartSpace>
</file>

<file path=xl/charts/chart119.xml><?xml version="1.0" encoding="utf-8"?>
<c:chartSpace xmlns:c="http://schemas.openxmlformats.org/drawingml/2006/chart" xmlns:a="http://schemas.openxmlformats.org/drawingml/2006/main" xmlns:r="http://schemas.openxmlformats.org/officeDocument/2006/relationships">
  <c:lang val="en-IE"/>
  <c:chart>
    <c:title>
      <c:tx>
        <c:strRef>
          <c:f>'Search by Health Card'!$A$180</c:f>
          <c:strCache>
            <c:ptCount val="1"/>
            <c:pt idx="0">
              <c:v>Satisfaction with the level of privacy provided during appointment</c:v>
            </c:pt>
          </c:strCache>
        </c:strRef>
      </c:tx>
    </c:title>
    <c:plotArea>
      <c:layout/>
      <c:barChart>
        <c:barDir val="col"/>
        <c:grouping val="clustered"/>
        <c:ser>
          <c:idx val="0"/>
          <c:order val="0"/>
          <c:dLbls>
            <c:showVal val="1"/>
          </c:dLbls>
          <c:cat>
            <c:strRef>
              <c:f>'Search by Health Card'!$A$182:$A$183</c:f>
              <c:strCache>
                <c:ptCount val="2"/>
                <c:pt idx="0">
                  <c:v>Yes</c:v>
                </c:pt>
                <c:pt idx="1">
                  <c:v>No</c:v>
                </c:pt>
              </c:strCache>
            </c:strRef>
          </c:cat>
          <c:val>
            <c:numRef>
              <c:f>'Search by Health Card'!$D$182:$D$183</c:f>
              <c:numCache>
                <c:formatCode>0.0</c:formatCode>
                <c:ptCount val="2"/>
                <c:pt idx="0">
                  <c:v>0</c:v>
                </c:pt>
                <c:pt idx="1">
                  <c:v>0</c:v>
                </c:pt>
              </c:numCache>
            </c:numRef>
          </c:val>
        </c:ser>
        <c:dLbls/>
        <c:axId val="101785984"/>
        <c:axId val="101787520"/>
      </c:barChart>
      <c:catAx>
        <c:axId val="101785984"/>
        <c:scaling>
          <c:orientation val="minMax"/>
        </c:scaling>
        <c:axPos val="b"/>
        <c:majorTickMark val="none"/>
        <c:tickLblPos val="nextTo"/>
        <c:crossAx val="101787520"/>
        <c:crosses val="autoZero"/>
        <c:auto val="1"/>
        <c:lblAlgn val="ctr"/>
        <c:lblOffset val="100"/>
      </c:catAx>
      <c:valAx>
        <c:axId val="101787520"/>
        <c:scaling>
          <c:orientation val="minMax"/>
          <c:max val="100"/>
        </c:scaling>
        <c:axPos val="l"/>
        <c:majorGridlines/>
        <c:numFmt formatCode="0.0" sourceLinked="1"/>
        <c:majorTickMark val="none"/>
        <c:tickLblPos val="nextTo"/>
        <c:crossAx val="101785984"/>
        <c:crosses val="autoZero"/>
        <c:crossBetween val="between"/>
      </c:valAx>
    </c:plotArea>
    <c:plotVisOnly val="1"/>
    <c:dispBlanksAs val="gap"/>
  </c:chart>
  <c:printSettings>
    <c:headerFooter/>
    <c:pageMargins b="0.75000000000000733" l="0.70000000000000062" r="0.70000000000000062" t="0.75000000000000733"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n-IE"/>
  <c:chart>
    <c:title>
      <c:tx>
        <c:rich>
          <a:bodyPr/>
          <a:lstStyle/>
          <a:p>
            <a:pPr>
              <a:defRPr/>
            </a:pPr>
            <a:r>
              <a:rPr lang="en-IE"/>
              <a:t>Time waiting to see the healthcare professional today on day of</a:t>
            </a:r>
            <a:r>
              <a:rPr lang="en-IE" baseline="0"/>
              <a:t> survey</a:t>
            </a:r>
            <a:endParaRPr lang="en-IE"/>
          </a:p>
        </c:rich>
      </c:tx>
    </c:title>
    <c:plotArea>
      <c:layout/>
      <c:barChart>
        <c:barDir val="col"/>
        <c:grouping val="clustered"/>
        <c:ser>
          <c:idx val="0"/>
          <c:order val="0"/>
          <c:dLbls>
            <c:showVal val="1"/>
          </c:dLbls>
          <c:cat>
            <c:strRef>
              <c:f>OverallResults!$A$144:$A$147</c:f>
              <c:strCache>
                <c:ptCount val="4"/>
                <c:pt idx="0">
                  <c:v>Less than 15 minutes</c:v>
                </c:pt>
                <c:pt idx="1">
                  <c:v>15 to 30 minutes</c:v>
                </c:pt>
                <c:pt idx="2">
                  <c:v>31 to 45 minutes</c:v>
                </c:pt>
                <c:pt idx="3">
                  <c:v>Over 45 minutes</c:v>
                </c:pt>
              </c:strCache>
            </c:strRef>
          </c:cat>
          <c:val>
            <c:numRef>
              <c:f>OverallResults!$D$144:$D$147</c:f>
              <c:numCache>
                <c:formatCode>0.0</c:formatCode>
                <c:ptCount val="4"/>
                <c:pt idx="0">
                  <c:v>0</c:v>
                </c:pt>
                <c:pt idx="1">
                  <c:v>0</c:v>
                </c:pt>
                <c:pt idx="2">
                  <c:v>0</c:v>
                </c:pt>
                <c:pt idx="3">
                  <c:v>0</c:v>
                </c:pt>
              </c:numCache>
            </c:numRef>
          </c:val>
        </c:ser>
        <c:dLbls/>
        <c:axId val="80127488"/>
        <c:axId val="80129024"/>
      </c:barChart>
      <c:catAx>
        <c:axId val="80127488"/>
        <c:scaling>
          <c:orientation val="minMax"/>
        </c:scaling>
        <c:axPos val="b"/>
        <c:majorTickMark val="none"/>
        <c:tickLblPos val="nextTo"/>
        <c:crossAx val="80129024"/>
        <c:crosses val="autoZero"/>
        <c:auto val="1"/>
        <c:lblAlgn val="ctr"/>
        <c:lblOffset val="100"/>
      </c:catAx>
      <c:valAx>
        <c:axId val="80129024"/>
        <c:scaling>
          <c:orientation val="minMax"/>
          <c:max val="100"/>
        </c:scaling>
        <c:axPos val="l"/>
        <c:majorGridlines/>
        <c:numFmt formatCode="0.0" sourceLinked="1"/>
        <c:majorTickMark val="none"/>
        <c:tickLblPos val="nextTo"/>
        <c:crossAx val="80127488"/>
        <c:crosses val="autoZero"/>
        <c:crossBetween val="between"/>
      </c:valAx>
    </c:plotArea>
    <c:plotVisOnly val="1"/>
    <c:dispBlanksAs val="gap"/>
  </c:chart>
  <c:printSettings>
    <c:headerFooter/>
    <c:pageMargins b="0.75000000000000577" l="0.70000000000000062" r="0.70000000000000062" t="0.75000000000000577" header="0.30000000000000032" footer="0.30000000000000032"/>
    <c:pageSetup/>
  </c:printSettings>
</c:chartSpace>
</file>

<file path=xl/charts/chart120.xml><?xml version="1.0" encoding="utf-8"?>
<c:chartSpace xmlns:c="http://schemas.openxmlformats.org/drawingml/2006/chart" xmlns:a="http://schemas.openxmlformats.org/drawingml/2006/main" xmlns:r="http://schemas.openxmlformats.org/officeDocument/2006/relationships">
  <c:lang val="en-IE"/>
  <c:chart>
    <c:title>
      <c:tx>
        <c:strRef>
          <c:f>'Search by Health Card'!$A$188</c:f>
          <c:strCache>
            <c:ptCount val="1"/>
            <c:pt idx="0">
              <c:v>It was explained that, if relevant to overall care, patients information may be shared with other PCT members
about you with other members of the Primary Care Team?</c:v>
            </c:pt>
          </c:strCache>
        </c:strRef>
      </c:tx>
    </c:title>
    <c:plotArea>
      <c:layout/>
      <c:barChart>
        <c:barDir val="col"/>
        <c:grouping val="clustered"/>
        <c:ser>
          <c:idx val="0"/>
          <c:order val="0"/>
          <c:dLbls>
            <c:showVal val="1"/>
          </c:dLbls>
          <c:cat>
            <c:strRef>
              <c:f>'Search by Health Card'!$A$190:$A$192</c:f>
              <c:strCache>
                <c:ptCount val="3"/>
                <c:pt idx="0">
                  <c:v>Yes</c:v>
                </c:pt>
                <c:pt idx="1">
                  <c:v>No</c:v>
                </c:pt>
                <c:pt idx="2">
                  <c:v>Not sure</c:v>
                </c:pt>
              </c:strCache>
            </c:strRef>
          </c:cat>
          <c:val>
            <c:numRef>
              <c:f>'Search by Health Card'!$D$190:$D$192</c:f>
              <c:numCache>
                <c:formatCode>0.0</c:formatCode>
                <c:ptCount val="3"/>
                <c:pt idx="0">
                  <c:v>0</c:v>
                </c:pt>
                <c:pt idx="1">
                  <c:v>0</c:v>
                </c:pt>
                <c:pt idx="2">
                  <c:v>0</c:v>
                </c:pt>
              </c:numCache>
            </c:numRef>
          </c:val>
        </c:ser>
        <c:dLbls/>
        <c:axId val="101820288"/>
        <c:axId val="101821824"/>
      </c:barChart>
      <c:catAx>
        <c:axId val="101820288"/>
        <c:scaling>
          <c:orientation val="minMax"/>
        </c:scaling>
        <c:axPos val="b"/>
        <c:numFmt formatCode="General" sourceLinked="1"/>
        <c:majorTickMark val="none"/>
        <c:tickLblPos val="nextTo"/>
        <c:crossAx val="101821824"/>
        <c:crosses val="autoZero"/>
        <c:auto val="1"/>
        <c:lblAlgn val="ctr"/>
        <c:lblOffset val="100"/>
      </c:catAx>
      <c:valAx>
        <c:axId val="101821824"/>
        <c:scaling>
          <c:orientation val="minMax"/>
          <c:max val="100"/>
        </c:scaling>
        <c:axPos val="l"/>
        <c:majorGridlines/>
        <c:numFmt formatCode="0.0" sourceLinked="1"/>
        <c:majorTickMark val="none"/>
        <c:tickLblPos val="nextTo"/>
        <c:crossAx val="101820288"/>
        <c:crosses val="autoZero"/>
        <c:crossBetween val="between"/>
      </c:valAx>
    </c:plotArea>
    <c:plotVisOnly val="1"/>
    <c:dispBlanksAs val="gap"/>
  </c:chart>
  <c:printSettings>
    <c:headerFooter/>
    <c:pageMargins b="0.75000000000000755" l="0.70000000000000062" r="0.70000000000000062" t="0.75000000000000755" header="0.30000000000000032" footer="0.30000000000000032"/>
    <c:pageSetup/>
  </c:printSettings>
</c:chartSpace>
</file>

<file path=xl/charts/chart121.xml><?xml version="1.0" encoding="utf-8"?>
<c:chartSpace xmlns:c="http://schemas.openxmlformats.org/drawingml/2006/chart" xmlns:a="http://schemas.openxmlformats.org/drawingml/2006/main" xmlns:r="http://schemas.openxmlformats.org/officeDocument/2006/relationships">
  <c:lang val="en-IE"/>
  <c:chart>
    <c:title>
      <c:tx>
        <c:strRef>
          <c:f>'Search by Health Card'!$A$197</c:f>
          <c:strCache>
            <c:ptCount val="1"/>
            <c:pt idx="0">
              <c:v>Advice and information provided during appointment was easy to understand</c:v>
            </c:pt>
          </c:strCache>
        </c:strRef>
      </c:tx>
    </c:title>
    <c:plotArea>
      <c:layout/>
      <c:barChart>
        <c:barDir val="col"/>
        <c:grouping val="clustered"/>
        <c:ser>
          <c:idx val="0"/>
          <c:order val="0"/>
          <c:dLbls>
            <c:showVal val="1"/>
          </c:dLbls>
          <c:cat>
            <c:strRef>
              <c:f>'Search by Health Card'!$A$199:$A$200</c:f>
              <c:strCache>
                <c:ptCount val="2"/>
                <c:pt idx="0">
                  <c:v>Yes</c:v>
                </c:pt>
                <c:pt idx="1">
                  <c:v>No</c:v>
                </c:pt>
              </c:strCache>
            </c:strRef>
          </c:cat>
          <c:val>
            <c:numRef>
              <c:f>'Search by Health Card'!$D$199:$D$200</c:f>
              <c:numCache>
                <c:formatCode>0.0</c:formatCode>
                <c:ptCount val="2"/>
                <c:pt idx="0">
                  <c:v>0</c:v>
                </c:pt>
                <c:pt idx="1">
                  <c:v>0</c:v>
                </c:pt>
              </c:numCache>
            </c:numRef>
          </c:val>
        </c:ser>
        <c:dLbls/>
        <c:axId val="101919744"/>
        <c:axId val="101933824"/>
      </c:barChart>
      <c:catAx>
        <c:axId val="101919744"/>
        <c:scaling>
          <c:orientation val="minMax"/>
        </c:scaling>
        <c:axPos val="b"/>
        <c:numFmt formatCode="General" sourceLinked="1"/>
        <c:majorTickMark val="none"/>
        <c:tickLblPos val="nextTo"/>
        <c:crossAx val="101933824"/>
        <c:crosses val="autoZero"/>
        <c:auto val="1"/>
        <c:lblAlgn val="ctr"/>
        <c:lblOffset val="100"/>
      </c:catAx>
      <c:valAx>
        <c:axId val="101933824"/>
        <c:scaling>
          <c:orientation val="minMax"/>
          <c:max val="100"/>
        </c:scaling>
        <c:axPos val="l"/>
        <c:majorGridlines/>
        <c:numFmt formatCode="0.0" sourceLinked="1"/>
        <c:majorTickMark val="none"/>
        <c:tickLblPos val="nextTo"/>
        <c:crossAx val="101919744"/>
        <c:crosses val="autoZero"/>
        <c:crossBetween val="between"/>
      </c:valAx>
    </c:plotArea>
    <c:plotVisOnly val="1"/>
    <c:dispBlanksAs val="gap"/>
  </c:chart>
  <c:printSettings>
    <c:headerFooter/>
    <c:pageMargins b="0.75000000000000777" l="0.70000000000000062" r="0.70000000000000062" t="0.75000000000000777" header="0.30000000000000032" footer="0.30000000000000032"/>
    <c:pageSetup/>
  </c:printSettings>
</c:chartSpace>
</file>

<file path=xl/charts/chart122.xml><?xml version="1.0" encoding="utf-8"?>
<c:chartSpace xmlns:c="http://schemas.openxmlformats.org/drawingml/2006/chart" xmlns:a="http://schemas.openxmlformats.org/drawingml/2006/main" xmlns:r="http://schemas.openxmlformats.org/officeDocument/2006/relationships">
  <c:lang val="en-IE"/>
  <c:chart>
    <c:title>
      <c:tx>
        <c:strRef>
          <c:f>'Search by Health Card'!$A$206</c:f>
          <c:strCache>
            <c:ptCount val="1"/>
            <c:pt idx="0">
              <c:v>Enough time provided during appointment to ask questions and discuss your health problems and concerns</c:v>
            </c:pt>
          </c:strCache>
        </c:strRef>
      </c:tx>
    </c:title>
    <c:plotArea>
      <c:layout/>
      <c:barChart>
        <c:barDir val="col"/>
        <c:grouping val="clustered"/>
        <c:ser>
          <c:idx val="0"/>
          <c:order val="0"/>
          <c:dLbls>
            <c:showVal val="1"/>
          </c:dLbls>
          <c:cat>
            <c:strRef>
              <c:f>'Search by Health Card'!$A$208:$A$209</c:f>
              <c:strCache>
                <c:ptCount val="2"/>
                <c:pt idx="0">
                  <c:v>Yes</c:v>
                </c:pt>
                <c:pt idx="1">
                  <c:v>No</c:v>
                </c:pt>
              </c:strCache>
            </c:strRef>
          </c:cat>
          <c:val>
            <c:numRef>
              <c:f>'Search by Health Card'!$D$208:$D$209</c:f>
              <c:numCache>
                <c:formatCode>0.0</c:formatCode>
                <c:ptCount val="2"/>
                <c:pt idx="0">
                  <c:v>0</c:v>
                </c:pt>
                <c:pt idx="1">
                  <c:v>0</c:v>
                </c:pt>
              </c:numCache>
            </c:numRef>
          </c:val>
        </c:ser>
        <c:dLbls/>
        <c:axId val="101970304"/>
        <c:axId val="101971840"/>
      </c:barChart>
      <c:catAx>
        <c:axId val="101970304"/>
        <c:scaling>
          <c:orientation val="minMax"/>
        </c:scaling>
        <c:axPos val="b"/>
        <c:numFmt formatCode="General" sourceLinked="1"/>
        <c:majorTickMark val="none"/>
        <c:tickLblPos val="nextTo"/>
        <c:crossAx val="101971840"/>
        <c:crosses val="autoZero"/>
        <c:auto val="1"/>
        <c:lblAlgn val="ctr"/>
        <c:lblOffset val="100"/>
      </c:catAx>
      <c:valAx>
        <c:axId val="101971840"/>
        <c:scaling>
          <c:orientation val="minMax"/>
          <c:max val="100"/>
        </c:scaling>
        <c:axPos val="l"/>
        <c:majorGridlines/>
        <c:numFmt formatCode="0.0" sourceLinked="1"/>
        <c:majorTickMark val="none"/>
        <c:tickLblPos val="nextTo"/>
        <c:crossAx val="101970304"/>
        <c:crosses val="autoZero"/>
        <c:crossBetween val="between"/>
      </c:valAx>
    </c:plotArea>
    <c:plotVisOnly val="1"/>
    <c:dispBlanksAs val="gap"/>
  </c:chart>
  <c:printSettings>
    <c:headerFooter/>
    <c:pageMargins b="0.75000000000000799" l="0.70000000000000062" r="0.70000000000000062" t="0.75000000000000799" header="0.30000000000000032" footer="0.30000000000000032"/>
    <c:pageSetup/>
  </c:printSettings>
</c:chartSpace>
</file>

<file path=xl/charts/chart123.xml><?xml version="1.0" encoding="utf-8"?>
<c:chartSpace xmlns:c="http://schemas.openxmlformats.org/drawingml/2006/chart" xmlns:a="http://schemas.openxmlformats.org/drawingml/2006/main" xmlns:r="http://schemas.openxmlformats.org/officeDocument/2006/relationships">
  <c:lang val="en-IE"/>
  <c:chart>
    <c:title>
      <c:tx>
        <c:strRef>
          <c:f>'Search by Health Card'!$A$214</c:f>
          <c:strCache>
            <c:ptCount val="1"/>
            <c:pt idx="0">
              <c:v>Were you involved in making decisions about your care and treatment?</c:v>
            </c:pt>
          </c:strCache>
        </c:strRef>
      </c:tx>
    </c:title>
    <c:plotArea>
      <c:layout/>
      <c:barChart>
        <c:barDir val="col"/>
        <c:grouping val="clustered"/>
        <c:ser>
          <c:idx val="0"/>
          <c:order val="0"/>
          <c:dLbls>
            <c:showVal val="1"/>
          </c:dLbls>
          <c:cat>
            <c:strRef>
              <c:f>'Search by Health Card'!$A$216:$A$217</c:f>
              <c:strCache>
                <c:ptCount val="2"/>
                <c:pt idx="0">
                  <c:v>Yes</c:v>
                </c:pt>
                <c:pt idx="1">
                  <c:v>No</c:v>
                </c:pt>
              </c:strCache>
            </c:strRef>
          </c:cat>
          <c:val>
            <c:numRef>
              <c:f>'Search by Health Card'!$D$216:$D$217</c:f>
              <c:numCache>
                <c:formatCode>0.0</c:formatCode>
                <c:ptCount val="2"/>
                <c:pt idx="0">
                  <c:v>0</c:v>
                </c:pt>
                <c:pt idx="1">
                  <c:v>0</c:v>
                </c:pt>
              </c:numCache>
            </c:numRef>
          </c:val>
        </c:ser>
        <c:dLbls/>
        <c:axId val="102059008"/>
        <c:axId val="102068992"/>
      </c:barChart>
      <c:catAx>
        <c:axId val="102059008"/>
        <c:scaling>
          <c:orientation val="minMax"/>
        </c:scaling>
        <c:axPos val="b"/>
        <c:numFmt formatCode="General" sourceLinked="1"/>
        <c:majorTickMark val="none"/>
        <c:tickLblPos val="nextTo"/>
        <c:txPr>
          <a:bodyPr/>
          <a:lstStyle/>
          <a:p>
            <a:pPr>
              <a:defRPr sz="800"/>
            </a:pPr>
            <a:endParaRPr lang="en-US"/>
          </a:p>
        </c:txPr>
        <c:crossAx val="102068992"/>
        <c:crosses val="autoZero"/>
        <c:auto val="1"/>
        <c:lblAlgn val="ctr"/>
        <c:lblOffset val="100"/>
      </c:catAx>
      <c:valAx>
        <c:axId val="102068992"/>
        <c:scaling>
          <c:orientation val="minMax"/>
          <c:max val="100"/>
        </c:scaling>
        <c:axPos val="l"/>
        <c:majorGridlines/>
        <c:numFmt formatCode="0.0" sourceLinked="1"/>
        <c:majorTickMark val="none"/>
        <c:tickLblPos val="nextTo"/>
        <c:crossAx val="102059008"/>
        <c:crosses val="autoZero"/>
        <c:crossBetween val="between"/>
      </c:valAx>
    </c:plotArea>
    <c:plotVisOnly val="1"/>
    <c:dispBlanksAs val="gap"/>
  </c:chart>
  <c:printSettings>
    <c:headerFooter/>
    <c:pageMargins b="0.75000000000000822" l="0.70000000000000062" r="0.70000000000000062" t="0.75000000000000822" header="0.30000000000000032" footer="0.30000000000000032"/>
    <c:pageSetup/>
  </c:printSettings>
</c:chartSpace>
</file>

<file path=xl/charts/chart124.xml><?xml version="1.0" encoding="utf-8"?>
<c:chartSpace xmlns:c="http://schemas.openxmlformats.org/drawingml/2006/chart" xmlns:a="http://schemas.openxmlformats.org/drawingml/2006/main" xmlns:r="http://schemas.openxmlformats.org/officeDocument/2006/relationships">
  <c:lang val="en-IE"/>
  <c:chart>
    <c:title>
      <c:tx>
        <c:strRef>
          <c:f>'Search by Health Card'!$A$222</c:f>
          <c:strCache>
            <c:ptCount val="1"/>
            <c:pt idx="0">
              <c:v>Information or advice received on Quitting smoking during your visit</c:v>
            </c:pt>
          </c:strCache>
        </c:strRef>
      </c:tx>
    </c:title>
    <c:plotArea>
      <c:layout/>
      <c:barChart>
        <c:barDir val="col"/>
        <c:grouping val="clustered"/>
        <c:ser>
          <c:idx val="0"/>
          <c:order val="0"/>
          <c:dLbls>
            <c:showVal val="1"/>
          </c:dLbls>
          <c:cat>
            <c:strRef>
              <c:f>'Search by Health Card'!$A$224:$A$225</c:f>
              <c:strCache>
                <c:ptCount val="2"/>
                <c:pt idx="0">
                  <c:v>Yes</c:v>
                </c:pt>
                <c:pt idx="1">
                  <c:v>No</c:v>
                </c:pt>
              </c:strCache>
            </c:strRef>
          </c:cat>
          <c:val>
            <c:numRef>
              <c:f>'Search by Health Card'!$D$224:$D$225</c:f>
              <c:numCache>
                <c:formatCode>0.0</c:formatCode>
                <c:ptCount val="2"/>
                <c:pt idx="0">
                  <c:v>0</c:v>
                </c:pt>
                <c:pt idx="1">
                  <c:v>0</c:v>
                </c:pt>
              </c:numCache>
            </c:numRef>
          </c:val>
        </c:ser>
        <c:dLbls/>
        <c:axId val="102104064"/>
        <c:axId val="102118144"/>
      </c:barChart>
      <c:catAx>
        <c:axId val="102104064"/>
        <c:scaling>
          <c:orientation val="minMax"/>
        </c:scaling>
        <c:axPos val="b"/>
        <c:numFmt formatCode="General" sourceLinked="1"/>
        <c:majorTickMark val="none"/>
        <c:tickLblPos val="nextTo"/>
        <c:crossAx val="102118144"/>
        <c:crosses val="autoZero"/>
        <c:auto val="1"/>
        <c:lblAlgn val="ctr"/>
        <c:lblOffset val="100"/>
      </c:catAx>
      <c:valAx>
        <c:axId val="102118144"/>
        <c:scaling>
          <c:orientation val="minMax"/>
          <c:max val="100"/>
        </c:scaling>
        <c:axPos val="l"/>
        <c:majorGridlines/>
        <c:numFmt formatCode="0.0" sourceLinked="1"/>
        <c:majorTickMark val="none"/>
        <c:tickLblPos val="nextTo"/>
        <c:crossAx val="102104064"/>
        <c:crosses val="autoZero"/>
        <c:crossBetween val="between"/>
      </c:valAx>
    </c:plotArea>
    <c:plotVisOnly val="1"/>
    <c:dispBlanksAs val="gap"/>
  </c:chart>
  <c:printSettings>
    <c:headerFooter/>
    <c:pageMargins b="0.75000000000000822" l="0.70000000000000062" r="0.70000000000000062" t="0.75000000000000822" header="0.30000000000000032" footer="0.30000000000000032"/>
    <c:pageSetup/>
  </c:printSettings>
</c:chartSpace>
</file>

<file path=xl/charts/chart125.xml><?xml version="1.0" encoding="utf-8"?>
<c:chartSpace xmlns:c="http://schemas.openxmlformats.org/drawingml/2006/chart" xmlns:a="http://schemas.openxmlformats.org/drawingml/2006/main" xmlns:r="http://schemas.openxmlformats.org/officeDocument/2006/relationships">
  <c:lang val="en-IE"/>
  <c:chart>
    <c:title>
      <c:tx>
        <c:strRef>
          <c:f>'Search by Health Card'!$A$231</c:f>
          <c:strCache>
            <c:ptCount val="1"/>
            <c:pt idx="0">
              <c:v>Information or advice received  on Losing weight during your visit today</c:v>
            </c:pt>
          </c:strCache>
        </c:strRef>
      </c:tx>
    </c:title>
    <c:plotArea>
      <c:layout/>
      <c:barChart>
        <c:barDir val="col"/>
        <c:grouping val="clustered"/>
        <c:ser>
          <c:idx val="0"/>
          <c:order val="0"/>
          <c:dLbls>
            <c:showVal val="1"/>
          </c:dLbls>
          <c:cat>
            <c:strRef>
              <c:f>'Search by Health Card'!$A$233:$A$234</c:f>
              <c:strCache>
                <c:ptCount val="2"/>
                <c:pt idx="0">
                  <c:v>Yes</c:v>
                </c:pt>
                <c:pt idx="1">
                  <c:v>No</c:v>
                </c:pt>
              </c:strCache>
            </c:strRef>
          </c:cat>
          <c:val>
            <c:numRef>
              <c:f>'Search by Health Card'!$D$233:$D$234</c:f>
              <c:numCache>
                <c:formatCode>0.0</c:formatCode>
                <c:ptCount val="2"/>
                <c:pt idx="0">
                  <c:v>0</c:v>
                </c:pt>
                <c:pt idx="1">
                  <c:v>0</c:v>
                </c:pt>
              </c:numCache>
            </c:numRef>
          </c:val>
        </c:ser>
        <c:dLbls/>
        <c:axId val="102142336"/>
        <c:axId val="102143872"/>
      </c:barChart>
      <c:catAx>
        <c:axId val="102142336"/>
        <c:scaling>
          <c:orientation val="minMax"/>
        </c:scaling>
        <c:axPos val="b"/>
        <c:numFmt formatCode="General" sourceLinked="1"/>
        <c:majorTickMark val="none"/>
        <c:tickLblPos val="nextTo"/>
        <c:crossAx val="102143872"/>
        <c:crosses val="autoZero"/>
        <c:auto val="1"/>
        <c:lblAlgn val="ctr"/>
        <c:lblOffset val="100"/>
      </c:catAx>
      <c:valAx>
        <c:axId val="102143872"/>
        <c:scaling>
          <c:orientation val="minMax"/>
          <c:max val="100"/>
        </c:scaling>
        <c:axPos val="l"/>
        <c:majorGridlines/>
        <c:numFmt formatCode="0.0" sourceLinked="1"/>
        <c:majorTickMark val="none"/>
        <c:tickLblPos val="nextTo"/>
        <c:crossAx val="102142336"/>
        <c:crosses val="autoZero"/>
        <c:crossBetween val="between"/>
      </c:valAx>
    </c:plotArea>
    <c:plotVisOnly val="1"/>
    <c:dispBlanksAs val="gap"/>
  </c:chart>
  <c:printSettings>
    <c:headerFooter/>
    <c:pageMargins b="0.75000000000000777" l="0.70000000000000062" r="0.70000000000000062" t="0.75000000000000777" header="0.30000000000000032" footer="0.30000000000000032"/>
    <c:pageSetup/>
  </c:printSettings>
</c:chartSpace>
</file>

<file path=xl/charts/chart126.xml><?xml version="1.0" encoding="utf-8"?>
<c:chartSpace xmlns:c="http://schemas.openxmlformats.org/drawingml/2006/chart" xmlns:a="http://schemas.openxmlformats.org/drawingml/2006/main" xmlns:r="http://schemas.openxmlformats.org/officeDocument/2006/relationships">
  <c:lang val="en-IE"/>
  <c:chart>
    <c:title>
      <c:tx>
        <c:strRef>
          <c:f>'Search by Health Card'!$A$240</c:f>
          <c:strCache>
            <c:ptCount val="1"/>
            <c:pt idx="0">
              <c:v>Information or advice received  on Nutrition and healthy eating during your visit</c:v>
            </c:pt>
          </c:strCache>
        </c:strRef>
      </c:tx>
    </c:title>
    <c:plotArea>
      <c:layout/>
      <c:barChart>
        <c:barDir val="col"/>
        <c:grouping val="clustered"/>
        <c:ser>
          <c:idx val="0"/>
          <c:order val="0"/>
          <c:dLbls>
            <c:showVal val="1"/>
          </c:dLbls>
          <c:cat>
            <c:strRef>
              <c:f>'Search by Health Card'!$A$242:$A$243</c:f>
              <c:strCache>
                <c:ptCount val="2"/>
                <c:pt idx="0">
                  <c:v>Yes</c:v>
                </c:pt>
                <c:pt idx="1">
                  <c:v>No</c:v>
                </c:pt>
              </c:strCache>
            </c:strRef>
          </c:cat>
          <c:val>
            <c:numRef>
              <c:f>'Search by Health Card'!$D$242:$D$243</c:f>
              <c:numCache>
                <c:formatCode>0.0</c:formatCode>
                <c:ptCount val="2"/>
                <c:pt idx="0">
                  <c:v>0</c:v>
                </c:pt>
                <c:pt idx="1">
                  <c:v>0</c:v>
                </c:pt>
              </c:numCache>
            </c:numRef>
          </c:val>
        </c:ser>
        <c:dLbls/>
        <c:axId val="102168064"/>
        <c:axId val="102169600"/>
      </c:barChart>
      <c:catAx>
        <c:axId val="102168064"/>
        <c:scaling>
          <c:orientation val="minMax"/>
        </c:scaling>
        <c:axPos val="b"/>
        <c:numFmt formatCode="General" sourceLinked="1"/>
        <c:majorTickMark val="none"/>
        <c:tickLblPos val="nextTo"/>
        <c:crossAx val="102169600"/>
        <c:crosses val="autoZero"/>
        <c:auto val="1"/>
        <c:lblAlgn val="ctr"/>
        <c:lblOffset val="100"/>
      </c:catAx>
      <c:valAx>
        <c:axId val="102169600"/>
        <c:scaling>
          <c:orientation val="minMax"/>
          <c:max val="100"/>
        </c:scaling>
        <c:axPos val="l"/>
        <c:majorGridlines/>
        <c:numFmt formatCode="0.0" sourceLinked="1"/>
        <c:majorTickMark val="none"/>
        <c:tickLblPos val="nextTo"/>
        <c:crossAx val="102168064"/>
        <c:crosses val="autoZero"/>
        <c:crossBetween val="between"/>
      </c:valAx>
    </c:plotArea>
    <c:plotVisOnly val="1"/>
    <c:dispBlanksAs val="gap"/>
  </c:chart>
  <c:printSettings>
    <c:headerFooter/>
    <c:pageMargins b="0.75000000000000799" l="0.70000000000000062" r="0.70000000000000062" t="0.75000000000000799" header="0.30000000000000032" footer="0.30000000000000032"/>
    <c:pageSetup/>
  </c:printSettings>
</c:chartSpace>
</file>

<file path=xl/charts/chart127.xml><?xml version="1.0" encoding="utf-8"?>
<c:chartSpace xmlns:c="http://schemas.openxmlformats.org/drawingml/2006/chart" xmlns:a="http://schemas.openxmlformats.org/drawingml/2006/main" xmlns:r="http://schemas.openxmlformats.org/officeDocument/2006/relationships">
  <c:lang val="en-IE"/>
  <c:chart>
    <c:title>
      <c:tx>
        <c:strRef>
          <c:f>'Search by Health Card'!$A$249</c:f>
          <c:strCache>
            <c:ptCount val="1"/>
            <c:pt idx="0">
              <c:v>Information or advice received on Physical activity during your visit today</c:v>
            </c:pt>
          </c:strCache>
        </c:strRef>
      </c:tx>
    </c:title>
    <c:plotArea>
      <c:layout/>
      <c:barChart>
        <c:barDir val="col"/>
        <c:grouping val="clustered"/>
        <c:ser>
          <c:idx val="0"/>
          <c:order val="0"/>
          <c:dLbls>
            <c:showVal val="1"/>
          </c:dLbls>
          <c:cat>
            <c:strRef>
              <c:f>'Search by Health Card'!$A$251:$A$252</c:f>
              <c:strCache>
                <c:ptCount val="2"/>
                <c:pt idx="0">
                  <c:v>Yes</c:v>
                </c:pt>
                <c:pt idx="1">
                  <c:v>No</c:v>
                </c:pt>
              </c:strCache>
            </c:strRef>
          </c:cat>
          <c:val>
            <c:numRef>
              <c:f>'Search by Health Card'!$D$251:$D$252</c:f>
              <c:numCache>
                <c:formatCode>0.0</c:formatCode>
                <c:ptCount val="2"/>
                <c:pt idx="0">
                  <c:v>0</c:v>
                </c:pt>
                <c:pt idx="1">
                  <c:v>0</c:v>
                </c:pt>
              </c:numCache>
            </c:numRef>
          </c:val>
        </c:ser>
        <c:dLbls/>
        <c:axId val="102254848"/>
        <c:axId val="102285312"/>
      </c:barChart>
      <c:catAx>
        <c:axId val="102254848"/>
        <c:scaling>
          <c:orientation val="minMax"/>
        </c:scaling>
        <c:axPos val="b"/>
        <c:numFmt formatCode="General" sourceLinked="1"/>
        <c:majorTickMark val="none"/>
        <c:tickLblPos val="nextTo"/>
        <c:crossAx val="102285312"/>
        <c:crosses val="autoZero"/>
        <c:auto val="1"/>
        <c:lblAlgn val="ctr"/>
        <c:lblOffset val="100"/>
      </c:catAx>
      <c:valAx>
        <c:axId val="102285312"/>
        <c:scaling>
          <c:orientation val="minMax"/>
          <c:max val="100"/>
        </c:scaling>
        <c:axPos val="l"/>
        <c:majorGridlines/>
        <c:numFmt formatCode="0.0" sourceLinked="1"/>
        <c:majorTickMark val="none"/>
        <c:tickLblPos val="nextTo"/>
        <c:crossAx val="102254848"/>
        <c:crosses val="autoZero"/>
        <c:crossBetween val="between"/>
      </c:valAx>
    </c:plotArea>
    <c:plotVisOnly val="1"/>
    <c:dispBlanksAs val="gap"/>
  </c:chart>
  <c:printSettings>
    <c:headerFooter/>
    <c:pageMargins b="0.75000000000000822" l="0.70000000000000062" r="0.70000000000000062" t="0.75000000000000822" header="0.30000000000000032" footer="0.30000000000000032"/>
    <c:pageSetup/>
  </c:printSettings>
</c:chartSpace>
</file>

<file path=xl/charts/chart128.xml><?xml version="1.0" encoding="utf-8"?>
<c:chartSpace xmlns:c="http://schemas.openxmlformats.org/drawingml/2006/chart" xmlns:a="http://schemas.openxmlformats.org/drawingml/2006/main" xmlns:r="http://schemas.openxmlformats.org/officeDocument/2006/relationships">
  <c:lang val="en-IE"/>
  <c:chart>
    <c:title>
      <c:tx>
        <c:strRef>
          <c:f>'Search by Health Card'!$A$258</c:f>
          <c:strCache>
            <c:ptCount val="1"/>
            <c:pt idx="0">
              <c:v>Information or advice received on Alcohol use during your visit </c:v>
            </c:pt>
          </c:strCache>
        </c:strRef>
      </c:tx>
    </c:title>
    <c:plotArea>
      <c:layout/>
      <c:barChart>
        <c:barDir val="col"/>
        <c:grouping val="clustered"/>
        <c:ser>
          <c:idx val="0"/>
          <c:order val="0"/>
          <c:dLbls>
            <c:showVal val="1"/>
          </c:dLbls>
          <c:cat>
            <c:strRef>
              <c:f>'Search by Health Card'!$A$260:$A$261</c:f>
              <c:strCache>
                <c:ptCount val="2"/>
                <c:pt idx="0">
                  <c:v>Yes</c:v>
                </c:pt>
                <c:pt idx="1">
                  <c:v>No</c:v>
                </c:pt>
              </c:strCache>
            </c:strRef>
          </c:cat>
          <c:val>
            <c:numRef>
              <c:f>'Search by Health Card'!$D$260:$D$261</c:f>
              <c:numCache>
                <c:formatCode>0.0</c:formatCode>
                <c:ptCount val="2"/>
                <c:pt idx="0">
                  <c:v>0</c:v>
                </c:pt>
                <c:pt idx="1">
                  <c:v>0</c:v>
                </c:pt>
              </c:numCache>
            </c:numRef>
          </c:val>
        </c:ser>
        <c:dLbls/>
        <c:axId val="102301056"/>
        <c:axId val="102380672"/>
      </c:barChart>
      <c:catAx>
        <c:axId val="102301056"/>
        <c:scaling>
          <c:orientation val="minMax"/>
        </c:scaling>
        <c:axPos val="b"/>
        <c:numFmt formatCode="General" sourceLinked="1"/>
        <c:majorTickMark val="none"/>
        <c:tickLblPos val="nextTo"/>
        <c:crossAx val="102380672"/>
        <c:crosses val="autoZero"/>
        <c:auto val="1"/>
        <c:lblAlgn val="ctr"/>
        <c:lblOffset val="100"/>
      </c:catAx>
      <c:valAx>
        <c:axId val="102380672"/>
        <c:scaling>
          <c:orientation val="minMax"/>
          <c:max val="100"/>
        </c:scaling>
        <c:axPos val="l"/>
        <c:majorGridlines/>
        <c:numFmt formatCode="0.0" sourceLinked="1"/>
        <c:majorTickMark val="none"/>
        <c:tickLblPos val="nextTo"/>
        <c:crossAx val="102301056"/>
        <c:crosses val="autoZero"/>
        <c:crossBetween val="between"/>
      </c:valAx>
    </c:plotArea>
    <c:plotVisOnly val="1"/>
    <c:dispBlanksAs val="gap"/>
  </c:chart>
  <c:printSettings>
    <c:headerFooter/>
    <c:pageMargins b="0.75000000000000844" l="0.70000000000000062" r="0.70000000000000062" t="0.75000000000000844" header="0.30000000000000032" footer="0.30000000000000032"/>
    <c:pageSetup/>
  </c:printSettings>
</c:chartSpace>
</file>

<file path=xl/charts/chart129.xml><?xml version="1.0" encoding="utf-8"?>
<c:chartSpace xmlns:c="http://schemas.openxmlformats.org/drawingml/2006/chart" xmlns:a="http://schemas.openxmlformats.org/drawingml/2006/main" xmlns:r="http://schemas.openxmlformats.org/officeDocument/2006/relationships">
  <c:lang val="en-IE"/>
  <c:chart>
    <c:title>
      <c:tx>
        <c:strRef>
          <c:f>'Search by Health Card'!$A$267</c:f>
          <c:strCache>
            <c:ptCount val="1"/>
            <c:pt idx="0">
              <c:v>Information or advice received Mental health and wellbeing during your visit</c:v>
            </c:pt>
          </c:strCache>
        </c:strRef>
      </c:tx>
    </c:title>
    <c:plotArea>
      <c:layout/>
      <c:barChart>
        <c:barDir val="col"/>
        <c:grouping val="clustered"/>
        <c:ser>
          <c:idx val="0"/>
          <c:order val="0"/>
          <c:dLbls>
            <c:showVal val="1"/>
          </c:dLbls>
          <c:cat>
            <c:strRef>
              <c:f>'Search by Health Card'!$A$269:$A$270</c:f>
              <c:strCache>
                <c:ptCount val="2"/>
                <c:pt idx="0">
                  <c:v>Yes</c:v>
                </c:pt>
                <c:pt idx="1">
                  <c:v>No</c:v>
                </c:pt>
              </c:strCache>
            </c:strRef>
          </c:cat>
          <c:val>
            <c:numRef>
              <c:f>'Search by Health Card'!$D$269:$D$270</c:f>
              <c:numCache>
                <c:formatCode>0.0</c:formatCode>
                <c:ptCount val="2"/>
                <c:pt idx="0">
                  <c:v>0</c:v>
                </c:pt>
                <c:pt idx="1">
                  <c:v>0</c:v>
                </c:pt>
              </c:numCache>
            </c:numRef>
          </c:val>
        </c:ser>
        <c:dLbls/>
        <c:axId val="102417152"/>
        <c:axId val="102418688"/>
      </c:barChart>
      <c:catAx>
        <c:axId val="102417152"/>
        <c:scaling>
          <c:orientation val="minMax"/>
        </c:scaling>
        <c:axPos val="b"/>
        <c:numFmt formatCode="General" sourceLinked="1"/>
        <c:majorTickMark val="none"/>
        <c:tickLblPos val="nextTo"/>
        <c:crossAx val="102418688"/>
        <c:crosses val="autoZero"/>
        <c:auto val="1"/>
        <c:lblAlgn val="ctr"/>
        <c:lblOffset val="100"/>
      </c:catAx>
      <c:valAx>
        <c:axId val="102418688"/>
        <c:scaling>
          <c:orientation val="minMax"/>
          <c:max val="100"/>
        </c:scaling>
        <c:axPos val="l"/>
        <c:majorGridlines/>
        <c:numFmt formatCode="0.0" sourceLinked="1"/>
        <c:majorTickMark val="none"/>
        <c:tickLblPos val="nextTo"/>
        <c:crossAx val="102417152"/>
        <c:crosses val="autoZero"/>
        <c:crossBetween val="between"/>
      </c:valAx>
    </c:plotArea>
    <c:plotVisOnly val="1"/>
    <c:dispBlanksAs val="gap"/>
  </c:chart>
  <c:printSettings>
    <c:headerFooter/>
    <c:pageMargins b="0.75000000000000866" l="0.70000000000000062" r="0.70000000000000062" t="0.75000000000000866"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n-IE"/>
  <c:chart>
    <c:title>
      <c:tx>
        <c:rich>
          <a:bodyPr/>
          <a:lstStyle/>
          <a:p>
            <a:pPr>
              <a:defRPr/>
            </a:pPr>
            <a:r>
              <a:rPr lang="en-IE"/>
              <a:t>Healthcare professional washed or cleaned their hands prior to patient contact</a:t>
            </a:r>
          </a:p>
        </c:rich>
      </c:tx>
    </c:title>
    <c:plotArea>
      <c:layout/>
      <c:barChart>
        <c:barDir val="col"/>
        <c:grouping val="clustered"/>
        <c:ser>
          <c:idx val="0"/>
          <c:order val="0"/>
          <c:dLbls>
            <c:showVal val="1"/>
          </c:dLbls>
          <c:cat>
            <c:strRef>
              <c:f>OverallResults!$A$154:$A$156</c:f>
              <c:strCache>
                <c:ptCount val="3"/>
                <c:pt idx="0">
                  <c:v>Yes</c:v>
                </c:pt>
                <c:pt idx="1">
                  <c:v>No</c:v>
                </c:pt>
                <c:pt idx="2">
                  <c:v>Can't recall</c:v>
                </c:pt>
              </c:strCache>
            </c:strRef>
          </c:cat>
          <c:val>
            <c:numRef>
              <c:f>OverallResults!$D$154:$D$156</c:f>
              <c:numCache>
                <c:formatCode>0.0</c:formatCode>
                <c:ptCount val="3"/>
                <c:pt idx="0">
                  <c:v>0</c:v>
                </c:pt>
                <c:pt idx="1">
                  <c:v>0</c:v>
                </c:pt>
                <c:pt idx="2">
                  <c:v>0</c:v>
                </c:pt>
              </c:numCache>
            </c:numRef>
          </c:val>
        </c:ser>
        <c:dLbls/>
        <c:axId val="80161408"/>
        <c:axId val="80171392"/>
      </c:barChart>
      <c:catAx>
        <c:axId val="80161408"/>
        <c:scaling>
          <c:orientation val="minMax"/>
        </c:scaling>
        <c:axPos val="b"/>
        <c:majorTickMark val="none"/>
        <c:tickLblPos val="nextTo"/>
        <c:crossAx val="80171392"/>
        <c:crosses val="autoZero"/>
        <c:auto val="1"/>
        <c:lblAlgn val="ctr"/>
        <c:lblOffset val="100"/>
      </c:catAx>
      <c:valAx>
        <c:axId val="80171392"/>
        <c:scaling>
          <c:orientation val="minMax"/>
          <c:max val="100"/>
        </c:scaling>
        <c:axPos val="l"/>
        <c:majorGridlines/>
        <c:numFmt formatCode="0.0" sourceLinked="1"/>
        <c:majorTickMark val="none"/>
        <c:tickLblPos val="nextTo"/>
        <c:crossAx val="80161408"/>
        <c:crosses val="autoZero"/>
        <c:crossBetween val="between"/>
      </c:valAx>
    </c:plotArea>
    <c:plotVisOnly val="1"/>
    <c:dispBlanksAs val="gap"/>
  </c:chart>
  <c:printSettings>
    <c:headerFooter/>
    <c:pageMargins b="0.750000000000006" l="0.70000000000000062" r="0.70000000000000062" t="0.750000000000006" header="0.30000000000000032" footer="0.30000000000000032"/>
    <c:pageSetup/>
  </c:printSettings>
</c:chartSpace>
</file>

<file path=xl/charts/chart130.xml><?xml version="1.0" encoding="utf-8"?>
<c:chartSpace xmlns:c="http://schemas.openxmlformats.org/drawingml/2006/chart" xmlns:a="http://schemas.openxmlformats.org/drawingml/2006/main" xmlns:r="http://schemas.openxmlformats.org/officeDocument/2006/relationships">
  <c:lang val="en-IE"/>
  <c:chart>
    <c:title>
      <c:tx>
        <c:strRef>
          <c:f>'Search by Health Card'!$A$276</c:f>
          <c:strCache>
            <c:ptCount val="1"/>
            <c:pt idx="0">
              <c:v>Information or advice received on Dementia during your visit</c:v>
            </c:pt>
          </c:strCache>
        </c:strRef>
      </c:tx>
    </c:title>
    <c:plotArea>
      <c:layout/>
      <c:barChart>
        <c:barDir val="col"/>
        <c:grouping val="clustered"/>
        <c:ser>
          <c:idx val="0"/>
          <c:order val="0"/>
          <c:dLbls>
            <c:showVal val="1"/>
          </c:dLbls>
          <c:cat>
            <c:strRef>
              <c:f>'Search by Health Card'!$A$278:$A$279</c:f>
              <c:strCache>
                <c:ptCount val="2"/>
                <c:pt idx="0">
                  <c:v>Yes</c:v>
                </c:pt>
                <c:pt idx="1">
                  <c:v>No</c:v>
                </c:pt>
              </c:strCache>
            </c:strRef>
          </c:cat>
          <c:val>
            <c:numRef>
              <c:f>'Search by Health Card'!$D$278:$D$279</c:f>
              <c:numCache>
                <c:formatCode>0.0</c:formatCode>
                <c:ptCount val="2"/>
                <c:pt idx="0">
                  <c:v>0</c:v>
                </c:pt>
                <c:pt idx="1">
                  <c:v>0</c:v>
                </c:pt>
              </c:numCache>
            </c:numRef>
          </c:val>
        </c:ser>
        <c:dLbls/>
        <c:axId val="102443264"/>
        <c:axId val="102445056"/>
      </c:barChart>
      <c:catAx>
        <c:axId val="102443264"/>
        <c:scaling>
          <c:orientation val="minMax"/>
        </c:scaling>
        <c:axPos val="b"/>
        <c:numFmt formatCode="General" sourceLinked="1"/>
        <c:majorTickMark val="none"/>
        <c:tickLblPos val="nextTo"/>
        <c:crossAx val="102445056"/>
        <c:crosses val="autoZero"/>
        <c:auto val="1"/>
        <c:lblAlgn val="ctr"/>
        <c:lblOffset val="100"/>
      </c:catAx>
      <c:valAx>
        <c:axId val="102445056"/>
        <c:scaling>
          <c:orientation val="minMax"/>
          <c:max val="100"/>
        </c:scaling>
        <c:axPos val="l"/>
        <c:majorGridlines/>
        <c:numFmt formatCode="0.0" sourceLinked="1"/>
        <c:majorTickMark val="none"/>
        <c:tickLblPos val="nextTo"/>
        <c:crossAx val="102443264"/>
        <c:crosses val="autoZero"/>
        <c:crossBetween val="between"/>
      </c:valAx>
    </c:plotArea>
    <c:plotVisOnly val="1"/>
    <c:dispBlanksAs val="gap"/>
  </c:chart>
  <c:printSettings>
    <c:headerFooter/>
    <c:pageMargins b="0.75000000000000888" l="0.70000000000000062" r="0.70000000000000062" t="0.75000000000000888" header="0.30000000000000032" footer="0.30000000000000032"/>
    <c:pageSetup/>
  </c:printSettings>
</c:chartSpace>
</file>

<file path=xl/charts/chart131.xml><?xml version="1.0" encoding="utf-8"?>
<c:chartSpace xmlns:c="http://schemas.openxmlformats.org/drawingml/2006/chart" xmlns:a="http://schemas.openxmlformats.org/drawingml/2006/main" xmlns:r="http://schemas.openxmlformats.org/officeDocument/2006/relationships">
  <c:lang val="en-IE"/>
  <c:chart>
    <c:title>
      <c:tx>
        <c:strRef>
          <c:f>'Search by Health Card'!$A$285</c:f>
          <c:strCache>
            <c:ptCount val="1"/>
            <c:pt idx="0">
              <c:v>Information or advice received on Falls prevention during your visit</c:v>
            </c:pt>
          </c:strCache>
        </c:strRef>
      </c:tx>
    </c:title>
    <c:plotArea>
      <c:layout/>
      <c:barChart>
        <c:barDir val="col"/>
        <c:grouping val="clustered"/>
        <c:ser>
          <c:idx val="0"/>
          <c:order val="0"/>
          <c:dLbls>
            <c:showVal val="1"/>
          </c:dLbls>
          <c:cat>
            <c:strRef>
              <c:f>'Search by Health Card'!$A$287:$A$288</c:f>
              <c:strCache>
                <c:ptCount val="2"/>
                <c:pt idx="0">
                  <c:v>Yes</c:v>
                </c:pt>
                <c:pt idx="1">
                  <c:v>No</c:v>
                </c:pt>
              </c:strCache>
            </c:strRef>
          </c:cat>
          <c:val>
            <c:numRef>
              <c:f>'Search by Health Card'!$D$287:$D$288</c:f>
              <c:numCache>
                <c:formatCode>0.0</c:formatCode>
                <c:ptCount val="2"/>
                <c:pt idx="0">
                  <c:v>0</c:v>
                </c:pt>
                <c:pt idx="1">
                  <c:v>0</c:v>
                </c:pt>
              </c:numCache>
            </c:numRef>
          </c:val>
        </c:ser>
        <c:dLbls/>
        <c:axId val="102473728"/>
        <c:axId val="102475264"/>
      </c:barChart>
      <c:catAx>
        <c:axId val="102473728"/>
        <c:scaling>
          <c:orientation val="minMax"/>
        </c:scaling>
        <c:axPos val="b"/>
        <c:numFmt formatCode="General" sourceLinked="1"/>
        <c:majorTickMark val="none"/>
        <c:tickLblPos val="nextTo"/>
        <c:crossAx val="102475264"/>
        <c:crosses val="autoZero"/>
        <c:auto val="1"/>
        <c:lblAlgn val="ctr"/>
        <c:lblOffset val="100"/>
      </c:catAx>
      <c:valAx>
        <c:axId val="102475264"/>
        <c:scaling>
          <c:orientation val="minMax"/>
        </c:scaling>
        <c:axPos val="l"/>
        <c:majorGridlines/>
        <c:numFmt formatCode="0.0" sourceLinked="1"/>
        <c:majorTickMark val="none"/>
        <c:tickLblPos val="nextTo"/>
        <c:crossAx val="102473728"/>
        <c:crosses val="autoZero"/>
        <c:crossBetween val="between"/>
      </c:valAx>
    </c:plotArea>
    <c:plotVisOnly val="1"/>
    <c:dispBlanksAs val="gap"/>
  </c:chart>
  <c:printSettings>
    <c:headerFooter/>
    <c:pageMargins b="0.7500000000000091" l="0.70000000000000062" r="0.70000000000000062" t="0.7500000000000091" header="0.30000000000000032" footer="0.30000000000000032"/>
    <c:pageSetup/>
  </c:printSettings>
</c:chartSpace>
</file>

<file path=xl/charts/chart132.xml><?xml version="1.0" encoding="utf-8"?>
<c:chartSpace xmlns:c="http://schemas.openxmlformats.org/drawingml/2006/chart" xmlns:a="http://schemas.openxmlformats.org/drawingml/2006/main" xmlns:r="http://schemas.openxmlformats.org/officeDocument/2006/relationships">
  <c:lang val="en-IE"/>
  <c:chart>
    <c:title>
      <c:tx>
        <c:strRef>
          <c:f>'Search by Health Card'!$A$294</c:f>
          <c:strCache>
            <c:ptCount val="1"/>
            <c:pt idx="0">
              <c:v>Information or advice received on Drug use during your visit</c:v>
            </c:pt>
          </c:strCache>
        </c:strRef>
      </c:tx>
    </c:title>
    <c:plotArea>
      <c:layout/>
      <c:barChart>
        <c:barDir val="col"/>
        <c:grouping val="clustered"/>
        <c:ser>
          <c:idx val="0"/>
          <c:order val="0"/>
          <c:dLbls>
            <c:showVal val="1"/>
          </c:dLbls>
          <c:cat>
            <c:strRef>
              <c:f>'Search by Health Card'!$A$296:$A$297</c:f>
              <c:strCache>
                <c:ptCount val="2"/>
                <c:pt idx="0">
                  <c:v>Yes</c:v>
                </c:pt>
                <c:pt idx="1">
                  <c:v>No</c:v>
                </c:pt>
              </c:strCache>
            </c:strRef>
          </c:cat>
          <c:val>
            <c:numRef>
              <c:f>'Search by Health Card'!$D$296:$D$297</c:f>
              <c:numCache>
                <c:formatCode>0.0</c:formatCode>
                <c:ptCount val="2"/>
                <c:pt idx="0">
                  <c:v>0</c:v>
                </c:pt>
                <c:pt idx="1">
                  <c:v>0</c:v>
                </c:pt>
              </c:numCache>
            </c:numRef>
          </c:val>
        </c:ser>
        <c:dLbls/>
        <c:axId val="102306944"/>
        <c:axId val="102308480"/>
      </c:barChart>
      <c:catAx>
        <c:axId val="102306944"/>
        <c:scaling>
          <c:orientation val="minMax"/>
        </c:scaling>
        <c:axPos val="b"/>
        <c:numFmt formatCode="General" sourceLinked="1"/>
        <c:majorTickMark val="none"/>
        <c:tickLblPos val="nextTo"/>
        <c:crossAx val="102308480"/>
        <c:crosses val="autoZero"/>
        <c:auto val="1"/>
        <c:lblAlgn val="ctr"/>
        <c:lblOffset val="100"/>
      </c:catAx>
      <c:valAx>
        <c:axId val="102308480"/>
        <c:scaling>
          <c:orientation val="minMax"/>
          <c:max val="100"/>
        </c:scaling>
        <c:axPos val="l"/>
        <c:majorGridlines/>
        <c:numFmt formatCode="0.0" sourceLinked="1"/>
        <c:majorTickMark val="none"/>
        <c:tickLblPos val="nextTo"/>
        <c:crossAx val="102306944"/>
        <c:crosses val="autoZero"/>
        <c:crossBetween val="between"/>
      </c:valAx>
    </c:plotArea>
    <c:plotVisOnly val="1"/>
    <c:dispBlanksAs val="gap"/>
  </c:chart>
  <c:printSettings>
    <c:headerFooter/>
    <c:pageMargins b="0.75000000000000933" l="0.70000000000000062" r="0.70000000000000062" t="0.75000000000000933" header="0.30000000000000032" footer="0.30000000000000032"/>
    <c:pageSetup/>
  </c:printSettings>
</c:chartSpace>
</file>

<file path=xl/charts/chart133.xml><?xml version="1.0" encoding="utf-8"?>
<c:chartSpace xmlns:c="http://schemas.openxmlformats.org/drawingml/2006/chart" xmlns:a="http://schemas.openxmlformats.org/drawingml/2006/main" xmlns:r="http://schemas.openxmlformats.org/officeDocument/2006/relationships">
  <c:lang val="en-IE"/>
  <c:chart>
    <c:title>
      <c:tx>
        <c:strRef>
          <c:f>'Search by Health Card'!$A$303</c:f>
          <c:strCache>
            <c:ptCount val="1"/>
            <c:pt idx="0">
              <c:v>Information or advice received on Other issues during your visit today</c:v>
            </c:pt>
          </c:strCache>
        </c:strRef>
      </c:tx>
    </c:title>
    <c:plotArea>
      <c:layout/>
      <c:barChart>
        <c:barDir val="col"/>
        <c:grouping val="clustered"/>
        <c:ser>
          <c:idx val="0"/>
          <c:order val="0"/>
          <c:dLbls>
            <c:showVal val="1"/>
          </c:dLbls>
          <c:cat>
            <c:strRef>
              <c:f>'Search by Health Card'!$A$305:$A$306</c:f>
              <c:strCache>
                <c:ptCount val="2"/>
                <c:pt idx="0">
                  <c:v>Yes</c:v>
                </c:pt>
                <c:pt idx="1">
                  <c:v>No</c:v>
                </c:pt>
              </c:strCache>
            </c:strRef>
          </c:cat>
          <c:val>
            <c:numRef>
              <c:f>'Search by Health Card'!$D$305:$D$306</c:f>
              <c:numCache>
                <c:formatCode>0.0</c:formatCode>
                <c:ptCount val="2"/>
                <c:pt idx="0">
                  <c:v>0</c:v>
                </c:pt>
                <c:pt idx="1">
                  <c:v>0</c:v>
                </c:pt>
              </c:numCache>
            </c:numRef>
          </c:val>
        </c:ser>
        <c:dLbls/>
        <c:axId val="102344960"/>
        <c:axId val="102359040"/>
      </c:barChart>
      <c:catAx>
        <c:axId val="102344960"/>
        <c:scaling>
          <c:orientation val="minMax"/>
        </c:scaling>
        <c:axPos val="b"/>
        <c:numFmt formatCode="General" sourceLinked="1"/>
        <c:majorTickMark val="none"/>
        <c:tickLblPos val="nextTo"/>
        <c:crossAx val="102359040"/>
        <c:crosses val="autoZero"/>
        <c:auto val="1"/>
        <c:lblAlgn val="ctr"/>
        <c:lblOffset val="100"/>
      </c:catAx>
      <c:valAx>
        <c:axId val="102359040"/>
        <c:scaling>
          <c:orientation val="minMax"/>
          <c:max val="100"/>
        </c:scaling>
        <c:axPos val="l"/>
        <c:majorGridlines/>
        <c:numFmt formatCode="0.0" sourceLinked="1"/>
        <c:majorTickMark val="none"/>
        <c:tickLblPos val="nextTo"/>
        <c:crossAx val="102344960"/>
        <c:crosses val="autoZero"/>
        <c:crossBetween val="between"/>
      </c:valAx>
    </c:plotArea>
    <c:plotVisOnly val="1"/>
    <c:dispBlanksAs val="gap"/>
  </c:chart>
  <c:printSettings>
    <c:headerFooter/>
    <c:pageMargins b="0.75000000000000955" l="0.70000000000000062" r="0.70000000000000062" t="0.75000000000000955" header="0.30000000000000032" footer="0.30000000000000032"/>
    <c:pageSetup/>
  </c:printSettings>
</c:chartSpace>
</file>

<file path=xl/charts/chart134.xml><?xml version="1.0" encoding="utf-8"?>
<c:chartSpace xmlns:c="http://schemas.openxmlformats.org/drawingml/2006/chart" xmlns:a="http://schemas.openxmlformats.org/drawingml/2006/main" xmlns:r="http://schemas.openxmlformats.org/officeDocument/2006/relationships">
  <c:lang val="en-IE"/>
  <c:chart>
    <c:title>
      <c:tx>
        <c:strRef>
          <c:f>'Search by Health Card'!$A$312</c:f>
          <c:strCache>
            <c:ptCount val="1"/>
            <c:pt idx="0">
              <c:v>Patient highlighted other areas for information or advice</c:v>
            </c:pt>
          </c:strCache>
        </c:strRef>
      </c:tx>
    </c:title>
    <c:plotArea>
      <c:layout/>
      <c:barChart>
        <c:barDir val="col"/>
        <c:grouping val="clustered"/>
        <c:ser>
          <c:idx val="0"/>
          <c:order val="0"/>
          <c:dLbls>
            <c:showVal val="1"/>
          </c:dLbls>
          <c:cat>
            <c:strRef>
              <c:f>'Search by Health Card'!$A$314:$A$315</c:f>
              <c:strCache>
                <c:ptCount val="2"/>
                <c:pt idx="0">
                  <c:v>Yes</c:v>
                </c:pt>
                <c:pt idx="1">
                  <c:v>No</c:v>
                </c:pt>
              </c:strCache>
            </c:strRef>
          </c:cat>
          <c:val>
            <c:numRef>
              <c:f>'Search by Health Card'!$D$314:$D$315</c:f>
              <c:numCache>
                <c:formatCode>0.0</c:formatCode>
                <c:ptCount val="2"/>
                <c:pt idx="0">
                  <c:v>0</c:v>
                </c:pt>
                <c:pt idx="1">
                  <c:v>0</c:v>
                </c:pt>
              </c:numCache>
            </c:numRef>
          </c:val>
        </c:ser>
        <c:dLbls/>
        <c:axId val="102366592"/>
        <c:axId val="102515840"/>
      </c:barChart>
      <c:catAx>
        <c:axId val="102366592"/>
        <c:scaling>
          <c:orientation val="minMax"/>
        </c:scaling>
        <c:axPos val="b"/>
        <c:numFmt formatCode="General" sourceLinked="1"/>
        <c:majorTickMark val="none"/>
        <c:tickLblPos val="nextTo"/>
        <c:crossAx val="102515840"/>
        <c:crosses val="autoZero"/>
        <c:auto val="1"/>
        <c:lblAlgn val="ctr"/>
        <c:lblOffset val="100"/>
      </c:catAx>
      <c:valAx>
        <c:axId val="102515840"/>
        <c:scaling>
          <c:orientation val="minMax"/>
          <c:max val="100"/>
        </c:scaling>
        <c:axPos val="l"/>
        <c:majorGridlines/>
        <c:numFmt formatCode="0.0" sourceLinked="1"/>
        <c:majorTickMark val="none"/>
        <c:tickLblPos val="nextTo"/>
        <c:crossAx val="102366592"/>
        <c:crosses val="autoZero"/>
        <c:crossBetween val="between"/>
      </c:valAx>
    </c:plotArea>
    <c:plotVisOnly val="1"/>
    <c:dispBlanksAs val="gap"/>
  </c:chart>
  <c:printSettings>
    <c:headerFooter/>
    <c:pageMargins b="0.75000000000000977" l="0.70000000000000062" r="0.70000000000000062" t="0.75000000000000977" header="0.30000000000000032" footer="0.30000000000000032"/>
    <c:pageSetup/>
  </c:printSettings>
</c:chartSpace>
</file>

<file path=xl/charts/chart135.xml><?xml version="1.0" encoding="utf-8"?>
<c:chartSpace xmlns:c="http://schemas.openxmlformats.org/drawingml/2006/chart" xmlns:a="http://schemas.openxmlformats.org/drawingml/2006/main" xmlns:r="http://schemas.openxmlformats.org/officeDocument/2006/relationships">
  <c:lang val="en-IE"/>
  <c:chart>
    <c:title>
      <c:tx>
        <c:strRef>
          <c:f>'Search by Health Card'!$A$320</c:f>
          <c:strCache>
            <c:ptCount val="1"/>
            <c:pt idx="0">
              <c:v>Overall patient rating of their appointment on day of survey</c:v>
            </c:pt>
          </c:strCache>
        </c:strRef>
      </c:tx>
    </c:title>
    <c:plotArea>
      <c:layout/>
      <c:barChart>
        <c:barDir val="col"/>
        <c:grouping val="clustered"/>
        <c:ser>
          <c:idx val="0"/>
          <c:order val="0"/>
          <c:dLbls>
            <c:showVal val="1"/>
          </c:dLbls>
          <c:cat>
            <c:strRef>
              <c:f>'Search by Health Card'!$A$322:$A$326</c:f>
              <c:strCache>
                <c:ptCount val="5"/>
                <c:pt idx="0">
                  <c:v>Excellent</c:v>
                </c:pt>
                <c:pt idx="1">
                  <c:v>Very Good</c:v>
                </c:pt>
                <c:pt idx="2">
                  <c:v>Good</c:v>
                </c:pt>
                <c:pt idx="3">
                  <c:v>Poor </c:v>
                </c:pt>
                <c:pt idx="4">
                  <c:v>Very Poor</c:v>
                </c:pt>
              </c:strCache>
            </c:strRef>
          </c:cat>
          <c:val>
            <c:numRef>
              <c:f>'Search by Health Card'!$D$322:$D$326</c:f>
              <c:numCache>
                <c:formatCode>0.0</c:formatCode>
                <c:ptCount val="5"/>
                <c:pt idx="0">
                  <c:v>0</c:v>
                </c:pt>
                <c:pt idx="1">
                  <c:v>0</c:v>
                </c:pt>
                <c:pt idx="2">
                  <c:v>0</c:v>
                </c:pt>
                <c:pt idx="3">
                  <c:v>0</c:v>
                </c:pt>
                <c:pt idx="4">
                  <c:v>0</c:v>
                </c:pt>
              </c:numCache>
            </c:numRef>
          </c:val>
        </c:ser>
        <c:dLbls/>
        <c:axId val="102543744"/>
        <c:axId val="102545280"/>
      </c:barChart>
      <c:catAx>
        <c:axId val="102543744"/>
        <c:scaling>
          <c:orientation val="minMax"/>
        </c:scaling>
        <c:axPos val="b"/>
        <c:numFmt formatCode="General" sourceLinked="1"/>
        <c:majorTickMark val="none"/>
        <c:tickLblPos val="nextTo"/>
        <c:crossAx val="102545280"/>
        <c:crosses val="autoZero"/>
        <c:auto val="1"/>
        <c:lblAlgn val="ctr"/>
        <c:lblOffset val="100"/>
      </c:catAx>
      <c:valAx>
        <c:axId val="102545280"/>
        <c:scaling>
          <c:orientation val="minMax"/>
          <c:max val="100"/>
        </c:scaling>
        <c:axPos val="l"/>
        <c:majorGridlines/>
        <c:numFmt formatCode="0.0" sourceLinked="1"/>
        <c:majorTickMark val="none"/>
        <c:tickLblPos val="nextTo"/>
        <c:crossAx val="102543744"/>
        <c:crosses val="autoZero"/>
        <c:crossBetween val="between"/>
      </c:valAx>
    </c:plotArea>
    <c:plotVisOnly val="1"/>
    <c:dispBlanksAs val="gap"/>
  </c:chart>
  <c:printSettings>
    <c:headerFooter/>
    <c:pageMargins b="0.75000000000000999" l="0.70000000000000062" r="0.70000000000000062" t="0.75000000000000999" header="0.30000000000000032" footer="0.30000000000000032"/>
    <c:pageSetup/>
  </c:printSettings>
</c:chartSpace>
</file>

<file path=xl/charts/chart136.xml><?xml version="1.0" encoding="utf-8"?>
<c:chartSpace xmlns:c="http://schemas.openxmlformats.org/drawingml/2006/chart" xmlns:a="http://schemas.openxmlformats.org/drawingml/2006/main" xmlns:r="http://schemas.openxmlformats.org/officeDocument/2006/relationships">
  <c:lang val="en-IE"/>
  <c:chart>
    <c:title>
      <c:tx>
        <c:strRef>
          <c:f>'Search by Health Card'!$A$331</c:f>
          <c:strCache>
            <c:ptCount val="1"/>
            <c:pt idx="0">
              <c:v>Patient awareness of The National Healthcare Charter, ‘You and Your Health Service’</c:v>
            </c:pt>
          </c:strCache>
        </c:strRef>
      </c:tx>
    </c:title>
    <c:plotArea>
      <c:layout/>
      <c:barChart>
        <c:barDir val="col"/>
        <c:grouping val="clustered"/>
        <c:ser>
          <c:idx val="0"/>
          <c:order val="0"/>
          <c:dLbls>
            <c:showVal val="1"/>
          </c:dLbls>
          <c:cat>
            <c:strRef>
              <c:f>'Search by Health Card'!$A$333:$A$334</c:f>
              <c:strCache>
                <c:ptCount val="2"/>
                <c:pt idx="0">
                  <c:v>Yes</c:v>
                </c:pt>
                <c:pt idx="1">
                  <c:v>No</c:v>
                </c:pt>
              </c:strCache>
            </c:strRef>
          </c:cat>
          <c:val>
            <c:numRef>
              <c:f>'Search by Health Card'!$D$333:$D$334</c:f>
              <c:numCache>
                <c:formatCode>0.0</c:formatCode>
                <c:ptCount val="2"/>
                <c:pt idx="0">
                  <c:v>0</c:v>
                </c:pt>
                <c:pt idx="1">
                  <c:v>0</c:v>
                </c:pt>
              </c:numCache>
            </c:numRef>
          </c:val>
        </c:ser>
        <c:dLbls/>
        <c:axId val="101344768"/>
        <c:axId val="101346304"/>
      </c:barChart>
      <c:catAx>
        <c:axId val="101344768"/>
        <c:scaling>
          <c:orientation val="minMax"/>
        </c:scaling>
        <c:axPos val="b"/>
        <c:numFmt formatCode="General" sourceLinked="1"/>
        <c:majorTickMark val="none"/>
        <c:tickLblPos val="nextTo"/>
        <c:crossAx val="101346304"/>
        <c:crosses val="autoZero"/>
        <c:auto val="1"/>
        <c:lblAlgn val="ctr"/>
        <c:lblOffset val="100"/>
      </c:catAx>
      <c:valAx>
        <c:axId val="101346304"/>
        <c:scaling>
          <c:orientation val="minMax"/>
          <c:max val="100"/>
        </c:scaling>
        <c:axPos val="l"/>
        <c:majorGridlines/>
        <c:numFmt formatCode="0.0" sourceLinked="1"/>
        <c:majorTickMark val="none"/>
        <c:tickLblPos val="nextTo"/>
        <c:crossAx val="101344768"/>
        <c:crosses val="autoZero"/>
        <c:crossBetween val="between"/>
      </c:valAx>
    </c:plotArea>
    <c:plotVisOnly val="1"/>
    <c:dispBlanksAs val="gap"/>
  </c:chart>
  <c:printSettings>
    <c:headerFooter/>
    <c:pageMargins b="0.75000000000001021" l="0.70000000000000062" r="0.70000000000000062" t="0.75000000000001021" header="0.30000000000000032" footer="0.30000000000000032"/>
    <c:pageSetup/>
  </c:printSettings>
</c:chartSpace>
</file>

<file path=xl/charts/chart137.xml><?xml version="1.0" encoding="utf-8"?>
<c:chartSpace xmlns:c="http://schemas.openxmlformats.org/drawingml/2006/chart" xmlns:a="http://schemas.openxmlformats.org/drawingml/2006/main" xmlns:r="http://schemas.openxmlformats.org/officeDocument/2006/relationships">
  <c:lang val="en-IE"/>
  <c:chart>
    <c:title>
      <c:tx>
        <c:strRef>
          <c:f>'Search by Health Card'!$A$339</c:f>
          <c:strCache>
            <c:ptCount val="1"/>
            <c:pt idx="0">
              <c:v>Patient awareness of ‘Your Service Your Say’ (HSE Complaints Process)</c:v>
            </c:pt>
          </c:strCache>
        </c:strRef>
      </c:tx>
    </c:title>
    <c:plotArea>
      <c:layout/>
      <c:barChart>
        <c:barDir val="col"/>
        <c:grouping val="clustered"/>
        <c:ser>
          <c:idx val="0"/>
          <c:order val="0"/>
          <c:dLbls>
            <c:showVal val="1"/>
          </c:dLbls>
          <c:cat>
            <c:strRef>
              <c:f>'Search by Health Card'!$A$341:$A$342</c:f>
              <c:strCache>
                <c:ptCount val="2"/>
                <c:pt idx="0">
                  <c:v>Yes</c:v>
                </c:pt>
                <c:pt idx="1">
                  <c:v>No</c:v>
                </c:pt>
              </c:strCache>
            </c:strRef>
          </c:cat>
          <c:val>
            <c:numRef>
              <c:f>'Search by Health Card'!$D$341:$D$342</c:f>
              <c:numCache>
                <c:formatCode>0.0</c:formatCode>
                <c:ptCount val="2"/>
                <c:pt idx="0">
                  <c:v>0</c:v>
                </c:pt>
                <c:pt idx="1">
                  <c:v>0</c:v>
                </c:pt>
              </c:numCache>
            </c:numRef>
          </c:val>
        </c:ser>
        <c:dLbls/>
        <c:axId val="101362304"/>
        <c:axId val="101380480"/>
      </c:barChart>
      <c:catAx>
        <c:axId val="101362304"/>
        <c:scaling>
          <c:orientation val="minMax"/>
        </c:scaling>
        <c:axPos val="b"/>
        <c:numFmt formatCode="General" sourceLinked="1"/>
        <c:majorTickMark val="none"/>
        <c:tickLblPos val="nextTo"/>
        <c:crossAx val="101380480"/>
        <c:crosses val="autoZero"/>
        <c:auto val="1"/>
        <c:lblAlgn val="ctr"/>
        <c:lblOffset val="100"/>
      </c:catAx>
      <c:valAx>
        <c:axId val="101380480"/>
        <c:scaling>
          <c:orientation val="minMax"/>
          <c:max val="100"/>
        </c:scaling>
        <c:axPos val="l"/>
        <c:majorGridlines/>
        <c:numFmt formatCode="0.0" sourceLinked="1"/>
        <c:majorTickMark val="none"/>
        <c:tickLblPos val="nextTo"/>
        <c:crossAx val="101362304"/>
        <c:crosses val="autoZero"/>
        <c:crossBetween val="between"/>
      </c:valAx>
    </c:plotArea>
    <c:plotVisOnly val="1"/>
    <c:dispBlanksAs val="gap"/>
  </c:chart>
  <c:printSettings>
    <c:headerFooter/>
    <c:pageMargins b="0.75000000000001044" l="0.70000000000000062" r="0.70000000000000062" t="0.75000000000001044" header="0.30000000000000032" footer="0.30000000000000032"/>
    <c:pageSetup/>
  </c:printSettings>
</c:chartSpace>
</file>

<file path=xl/charts/chart138.xml><?xml version="1.0" encoding="utf-8"?>
<c:chartSpace xmlns:c="http://schemas.openxmlformats.org/drawingml/2006/chart" xmlns:a="http://schemas.openxmlformats.org/drawingml/2006/main" xmlns:r="http://schemas.openxmlformats.org/officeDocument/2006/relationships">
  <c:lang val="en-IE"/>
  <c:chart>
    <c:title>
      <c:tx>
        <c:strRef>
          <c:f>'Search by PCT'!$A$10</c:f>
          <c:strCache>
            <c:ptCount val="1"/>
            <c:pt idx="0">
              <c:v>Gender</c:v>
            </c:pt>
          </c:strCache>
        </c:strRef>
      </c:tx>
    </c:title>
    <c:plotArea>
      <c:layout/>
      <c:barChart>
        <c:barDir val="col"/>
        <c:grouping val="clustered"/>
        <c:ser>
          <c:idx val="1"/>
          <c:order val="0"/>
          <c:dLbls>
            <c:showVal val="1"/>
          </c:dLbls>
          <c:cat>
            <c:strRef>
              <c:f>'Search by PCT'!$A$12:$A$14</c:f>
              <c:strCache>
                <c:ptCount val="3"/>
                <c:pt idx="0">
                  <c:v>Male</c:v>
                </c:pt>
                <c:pt idx="1">
                  <c:v>Female</c:v>
                </c:pt>
                <c:pt idx="2">
                  <c:v>Other</c:v>
                </c:pt>
              </c:strCache>
            </c:strRef>
          </c:cat>
          <c:val>
            <c:numRef>
              <c:f>'Search by PCT'!$D$12:$D$14</c:f>
              <c:numCache>
                <c:formatCode>0.0</c:formatCode>
                <c:ptCount val="3"/>
                <c:pt idx="0">
                  <c:v>0</c:v>
                </c:pt>
                <c:pt idx="1">
                  <c:v>0</c:v>
                </c:pt>
                <c:pt idx="2">
                  <c:v>0</c:v>
                </c:pt>
              </c:numCache>
            </c:numRef>
          </c:val>
        </c:ser>
        <c:dLbls/>
        <c:axId val="102994688"/>
        <c:axId val="102996224"/>
      </c:barChart>
      <c:catAx>
        <c:axId val="102994688"/>
        <c:scaling>
          <c:orientation val="minMax"/>
        </c:scaling>
        <c:axPos val="b"/>
        <c:majorTickMark val="none"/>
        <c:tickLblPos val="nextTo"/>
        <c:crossAx val="102996224"/>
        <c:crosses val="autoZero"/>
        <c:auto val="1"/>
        <c:lblAlgn val="ctr"/>
        <c:lblOffset val="100"/>
      </c:catAx>
      <c:valAx>
        <c:axId val="102996224"/>
        <c:scaling>
          <c:orientation val="minMax"/>
          <c:max val="100"/>
        </c:scaling>
        <c:axPos val="l"/>
        <c:majorGridlines/>
        <c:numFmt formatCode="0.0" sourceLinked="1"/>
        <c:majorTickMark val="none"/>
        <c:tickLblPos val="nextTo"/>
        <c:crossAx val="102994688"/>
        <c:crosses val="autoZero"/>
        <c:crossBetween val="between"/>
      </c:valAx>
    </c:plotArea>
    <c:plotVisOnly val="1"/>
    <c:dispBlanksAs val="gap"/>
  </c:chart>
  <c:printSettings>
    <c:headerFooter/>
    <c:pageMargins b="0.750000000000004" l="0.70000000000000062" r="0.70000000000000062" t="0.750000000000004" header="0.30000000000000032" footer="0.30000000000000032"/>
    <c:pageSetup/>
  </c:printSettings>
</c:chartSpace>
</file>

<file path=xl/charts/chart139.xml><?xml version="1.0" encoding="utf-8"?>
<c:chartSpace xmlns:c="http://schemas.openxmlformats.org/drawingml/2006/chart" xmlns:a="http://schemas.openxmlformats.org/drawingml/2006/main" xmlns:r="http://schemas.openxmlformats.org/officeDocument/2006/relationships">
  <c:lang val="en-IE"/>
  <c:chart>
    <c:title>
      <c:tx>
        <c:strRef>
          <c:f>'Search by PCT'!$A$19</c:f>
          <c:strCache>
            <c:ptCount val="1"/>
            <c:pt idx="0">
              <c:v>Age category</c:v>
            </c:pt>
          </c:strCache>
        </c:strRef>
      </c:tx>
    </c:title>
    <c:plotArea>
      <c:layout/>
      <c:barChart>
        <c:barDir val="col"/>
        <c:grouping val="clustered"/>
        <c:ser>
          <c:idx val="0"/>
          <c:order val="0"/>
          <c:dLbls>
            <c:showVal val="1"/>
          </c:dLbls>
          <c:cat>
            <c:strRef>
              <c:f>'Search by PCT'!$A$21:$A$26</c:f>
              <c:strCache>
                <c:ptCount val="6"/>
                <c:pt idx="0">
                  <c:v>Under 18 years of age</c:v>
                </c:pt>
                <c:pt idx="1">
                  <c:v>18-24yrs</c:v>
                </c:pt>
                <c:pt idx="2">
                  <c:v>25-44yrs</c:v>
                </c:pt>
                <c:pt idx="3">
                  <c:v>45-64yrs</c:v>
                </c:pt>
                <c:pt idx="4">
                  <c:v>65-74yrs</c:v>
                </c:pt>
                <c:pt idx="5">
                  <c:v>75 years +</c:v>
                </c:pt>
              </c:strCache>
            </c:strRef>
          </c:cat>
          <c:val>
            <c:numRef>
              <c:f>'Search by PCT'!$D$21:$D$26</c:f>
              <c:numCache>
                <c:formatCode>0.0</c:formatCode>
                <c:ptCount val="6"/>
                <c:pt idx="0">
                  <c:v>0</c:v>
                </c:pt>
                <c:pt idx="1">
                  <c:v>0</c:v>
                </c:pt>
                <c:pt idx="2">
                  <c:v>0</c:v>
                </c:pt>
                <c:pt idx="3">
                  <c:v>0</c:v>
                </c:pt>
                <c:pt idx="4">
                  <c:v>0</c:v>
                </c:pt>
                <c:pt idx="5">
                  <c:v>0</c:v>
                </c:pt>
              </c:numCache>
            </c:numRef>
          </c:val>
        </c:ser>
        <c:dLbls/>
        <c:axId val="103012224"/>
        <c:axId val="103013760"/>
      </c:barChart>
      <c:catAx>
        <c:axId val="103012224"/>
        <c:scaling>
          <c:orientation val="minMax"/>
        </c:scaling>
        <c:axPos val="b"/>
        <c:majorTickMark val="none"/>
        <c:tickLblPos val="nextTo"/>
        <c:crossAx val="103013760"/>
        <c:crosses val="autoZero"/>
        <c:auto val="1"/>
        <c:lblAlgn val="ctr"/>
        <c:lblOffset val="100"/>
      </c:catAx>
      <c:valAx>
        <c:axId val="103013760"/>
        <c:scaling>
          <c:orientation val="minMax"/>
          <c:max val="100"/>
        </c:scaling>
        <c:axPos val="l"/>
        <c:majorGridlines/>
        <c:numFmt formatCode="0.0" sourceLinked="1"/>
        <c:majorTickMark val="none"/>
        <c:tickLblPos val="nextTo"/>
        <c:crossAx val="103012224"/>
        <c:crosses val="autoZero"/>
        <c:crossBetween val="between"/>
      </c:valAx>
    </c:plotArea>
    <c:plotVisOnly val="1"/>
    <c:dispBlanksAs val="gap"/>
  </c:chart>
  <c:printSettings>
    <c:headerFooter/>
    <c:pageMargins b="0.75000000000000422" l="0.70000000000000062" r="0.70000000000000062" t="0.75000000000000422"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n-IE"/>
  <c:chart>
    <c:title>
      <c:tx>
        <c:rich>
          <a:bodyPr/>
          <a:lstStyle/>
          <a:p>
            <a:pPr>
              <a:defRPr/>
            </a:pPr>
            <a:r>
              <a:rPr lang="en-IE"/>
              <a:t>Healthcare professional introduced themselves Patient</a:t>
            </a:r>
          </a:p>
        </c:rich>
      </c:tx>
    </c:title>
    <c:plotArea>
      <c:layout/>
      <c:barChart>
        <c:barDir val="col"/>
        <c:grouping val="clustered"/>
        <c:ser>
          <c:idx val="0"/>
          <c:order val="0"/>
          <c:dLbls>
            <c:showVal val="1"/>
          </c:dLbls>
          <c:cat>
            <c:strRef>
              <c:f>OverallResults!$A$163:$A$165</c:f>
              <c:strCache>
                <c:ptCount val="3"/>
                <c:pt idx="0">
                  <c:v>Yes</c:v>
                </c:pt>
                <c:pt idx="1">
                  <c:v>No</c:v>
                </c:pt>
                <c:pt idx="2">
                  <c:v>Already known to me</c:v>
                </c:pt>
              </c:strCache>
            </c:strRef>
          </c:cat>
          <c:val>
            <c:numRef>
              <c:f>OverallResults!$D$163:$D$165</c:f>
              <c:numCache>
                <c:formatCode>0.0</c:formatCode>
                <c:ptCount val="3"/>
                <c:pt idx="0">
                  <c:v>0</c:v>
                </c:pt>
                <c:pt idx="1">
                  <c:v>0</c:v>
                </c:pt>
                <c:pt idx="2">
                  <c:v>0</c:v>
                </c:pt>
              </c:numCache>
            </c:numRef>
          </c:val>
        </c:ser>
        <c:dLbls/>
        <c:axId val="80211968"/>
        <c:axId val="80213504"/>
      </c:barChart>
      <c:catAx>
        <c:axId val="80211968"/>
        <c:scaling>
          <c:orientation val="minMax"/>
        </c:scaling>
        <c:axPos val="b"/>
        <c:majorTickMark val="none"/>
        <c:tickLblPos val="nextTo"/>
        <c:crossAx val="80213504"/>
        <c:crosses val="autoZero"/>
        <c:auto val="1"/>
        <c:lblAlgn val="ctr"/>
        <c:lblOffset val="100"/>
      </c:catAx>
      <c:valAx>
        <c:axId val="80213504"/>
        <c:scaling>
          <c:orientation val="minMax"/>
          <c:max val="100"/>
        </c:scaling>
        <c:axPos val="l"/>
        <c:majorGridlines/>
        <c:numFmt formatCode="0.0" sourceLinked="1"/>
        <c:majorTickMark val="none"/>
        <c:tickLblPos val="nextTo"/>
        <c:crossAx val="80211968"/>
        <c:crosses val="autoZero"/>
        <c:crossBetween val="between"/>
      </c:valAx>
    </c:plotArea>
    <c:plotVisOnly val="1"/>
    <c:dispBlanksAs val="gap"/>
  </c:chart>
  <c:printSettings>
    <c:headerFooter/>
    <c:pageMargins b="0.75000000000000622" l="0.70000000000000062" r="0.70000000000000062" t="0.75000000000000622" header="0.30000000000000032" footer="0.30000000000000032"/>
    <c:pageSetup/>
  </c:printSettings>
</c:chartSpace>
</file>

<file path=xl/charts/chart140.xml><?xml version="1.0" encoding="utf-8"?>
<c:chartSpace xmlns:c="http://schemas.openxmlformats.org/drawingml/2006/chart" xmlns:a="http://schemas.openxmlformats.org/drawingml/2006/main" xmlns:r="http://schemas.openxmlformats.org/officeDocument/2006/relationships">
  <c:lang val="en-IE"/>
  <c:chart>
    <c:title>
      <c:tx>
        <c:strRef>
          <c:f>'Search by PCT'!$A$32</c:f>
          <c:strCache>
            <c:ptCount val="1"/>
            <c:pt idx="0">
              <c:v>Holder of Health cards</c:v>
            </c:pt>
          </c:strCache>
        </c:strRef>
      </c:tx>
    </c:title>
    <c:plotArea>
      <c:layout/>
      <c:barChart>
        <c:barDir val="col"/>
        <c:grouping val="clustered"/>
        <c:ser>
          <c:idx val="1"/>
          <c:order val="0"/>
          <c:dLbls>
            <c:showVal val="1"/>
          </c:dLbls>
          <c:cat>
            <c:strRef>
              <c:f>'Search by PCT'!$A$34:$A$42</c:f>
              <c:strCache>
                <c:ptCount val="9"/>
                <c:pt idx="0">
                  <c:v>Medical Card</c:v>
                </c:pt>
                <c:pt idx="1">
                  <c:v>GP Visit Card</c:v>
                </c:pt>
                <c:pt idx="2">
                  <c:v>Long-term Illness Card</c:v>
                </c:pt>
                <c:pt idx="3">
                  <c:v>Health Amendment Act Card</c:v>
                </c:pt>
                <c:pt idx="4">
                  <c:v>European Health Insurance Card</c:v>
                </c:pt>
                <c:pt idx="5">
                  <c:v>Drug Payment Scheme Card</c:v>
                </c:pt>
                <c:pt idx="6">
                  <c:v>Other</c:v>
                </c:pt>
                <c:pt idx="7">
                  <c:v>2 or more of the above cards</c:v>
                </c:pt>
                <c:pt idx="8">
                  <c:v>None of these</c:v>
                </c:pt>
              </c:strCache>
            </c:strRef>
          </c:cat>
          <c:val>
            <c:numRef>
              <c:f>'Search by PCT'!$D$34:$D$42</c:f>
              <c:numCache>
                <c:formatCode>0.0</c:formatCode>
                <c:ptCount val="9"/>
                <c:pt idx="0">
                  <c:v>0</c:v>
                </c:pt>
                <c:pt idx="1">
                  <c:v>0</c:v>
                </c:pt>
                <c:pt idx="2">
                  <c:v>0</c:v>
                </c:pt>
                <c:pt idx="3">
                  <c:v>0</c:v>
                </c:pt>
                <c:pt idx="4">
                  <c:v>0</c:v>
                </c:pt>
                <c:pt idx="5">
                  <c:v>0</c:v>
                </c:pt>
                <c:pt idx="6">
                  <c:v>0</c:v>
                </c:pt>
                <c:pt idx="7">
                  <c:v>0</c:v>
                </c:pt>
                <c:pt idx="8">
                  <c:v>0</c:v>
                </c:pt>
              </c:numCache>
            </c:numRef>
          </c:val>
        </c:ser>
        <c:dLbls/>
        <c:axId val="103066624"/>
        <c:axId val="103072512"/>
      </c:barChart>
      <c:catAx>
        <c:axId val="103066624"/>
        <c:scaling>
          <c:orientation val="minMax"/>
        </c:scaling>
        <c:axPos val="b"/>
        <c:majorTickMark val="none"/>
        <c:tickLblPos val="nextTo"/>
        <c:crossAx val="103072512"/>
        <c:crosses val="autoZero"/>
        <c:auto val="1"/>
        <c:lblAlgn val="ctr"/>
        <c:lblOffset val="100"/>
      </c:catAx>
      <c:valAx>
        <c:axId val="103072512"/>
        <c:scaling>
          <c:orientation val="minMax"/>
          <c:max val="100"/>
        </c:scaling>
        <c:axPos val="l"/>
        <c:majorGridlines/>
        <c:numFmt formatCode="0.0" sourceLinked="1"/>
        <c:majorTickMark val="none"/>
        <c:tickLblPos val="nextTo"/>
        <c:crossAx val="103066624"/>
        <c:crosses val="autoZero"/>
        <c:crossBetween val="between"/>
      </c:valAx>
    </c:plotArea>
    <c:plotVisOnly val="1"/>
    <c:dispBlanksAs val="gap"/>
  </c:chart>
  <c:printSettings>
    <c:headerFooter/>
    <c:pageMargins b="0.75000000000000444" l="0.70000000000000062" r="0.70000000000000062" t="0.75000000000000444" header="0.30000000000000032" footer="0.30000000000000032"/>
    <c:pageSetup/>
  </c:printSettings>
</c:chartSpace>
</file>

<file path=xl/charts/chart141.xml><?xml version="1.0" encoding="utf-8"?>
<c:chartSpace xmlns:c="http://schemas.openxmlformats.org/drawingml/2006/chart" xmlns:a="http://schemas.openxmlformats.org/drawingml/2006/main" xmlns:r="http://schemas.openxmlformats.org/officeDocument/2006/relationships">
  <c:lang val="en-IE"/>
  <c:chart>
    <c:title>
      <c:tx>
        <c:strRef>
          <c:f>'Search by PCT'!$A$47</c:f>
          <c:strCache>
            <c:ptCount val="1"/>
            <c:pt idx="0">
              <c:v>Use of Interpreter Services</c:v>
            </c:pt>
          </c:strCache>
        </c:strRef>
      </c:tx>
    </c:title>
    <c:plotArea>
      <c:layout/>
      <c:barChart>
        <c:barDir val="col"/>
        <c:grouping val="clustered"/>
        <c:ser>
          <c:idx val="0"/>
          <c:order val="0"/>
          <c:dLbls>
            <c:showVal val="1"/>
          </c:dLbls>
          <c:cat>
            <c:strRef>
              <c:f>'Search by PCT'!$A$49:$A$51</c:f>
              <c:strCache>
                <c:ptCount val="3"/>
                <c:pt idx="0">
                  <c:v>I did not use an interpreter for my appointment</c:v>
                </c:pt>
                <c:pt idx="1">
                  <c:v>I used a Sign interpreter</c:v>
                </c:pt>
                <c:pt idx="2">
                  <c:v>I used a Language interpreter</c:v>
                </c:pt>
              </c:strCache>
            </c:strRef>
          </c:cat>
          <c:val>
            <c:numRef>
              <c:f>'Search by PCT'!$D$49:$D$51</c:f>
              <c:numCache>
                <c:formatCode>0.0</c:formatCode>
                <c:ptCount val="3"/>
                <c:pt idx="0">
                  <c:v>0</c:v>
                </c:pt>
                <c:pt idx="1">
                  <c:v>0</c:v>
                </c:pt>
                <c:pt idx="2">
                  <c:v>0</c:v>
                </c:pt>
              </c:numCache>
            </c:numRef>
          </c:val>
        </c:ser>
        <c:dLbls/>
        <c:axId val="103108992"/>
        <c:axId val="103110528"/>
      </c:barChart>
      <c:catAx>
        <c:axId val="103108992"/>
        <c:scaling>
          <c:orientation val="minMax"/>
        </c:scaling>
        <c:axPos val="b"/>
        <c:majorTickMark val="none"/>
        <c:tickLblPos val="nextTo"/>
        <c:crossAx val="103110528"/>
        <c:crosses val="autoZero"/>
        <c:auto val="1"/>
        <c:lblAlgn val="ctr"/>
        <c:lblOffset val="100"/>
      </c:catAx>
      <c:valAx>
        <c:axId val="103110528"/>
        <c:scaling>
          <c:orientation val="minMax"/>
          <c:max val="100"/>
        </c:scaling>
        <c:axPos val="l"/>
        <c:majorGridlines/>
        <c:numFmt formatCode="0.0" sourceLinked="1"/>
        <c:majorTickMark val="none"/>
        <c:tickLblPos val="nextTo"/>
        <c:crossAx val="103108992"/>
        <c:crosses val="autoZero"/>
        <c:crossBetween val="between"/>
      </c:valAx>
    </c:plotArea>
    <c:plotVisOnly val="1"/>
    <c:dispBlanksAs val="gap"/>
  </c:chart>
  <c:printSettings>
    <c:headerFooter/>
    <c:pageMargins b="0.75000000000000466" l="0.70000000000000062" r="0.70000000000000062" t="0.75000000000000466" header="0.30000000000000032" footer="0.30000000000000032"/>
    <c:pageSetup/>
  </c:printSettings>
</c:chartSpace>
</file>

<file path=xl/charts/chart142.xml><?xml version="1.0" encoding="utf-8"?>
<c:chartSpace xmlns:c="http://schemas.openxmlformats.org/drawingml/2006/chart" xmlns:a="http://schemas.openxmlformats.org/drawingml/2006/main" xmlns:r="http://schemas.openxmlformats.org/officeDocument/2006/relationships">
  <c:lang val="en-IE"/>
  <c:chart>
    <c:title>
      <c:tx>
        <c:strRef>
          <c:f>'Search by PCT'!$A$56</c:f>
          <c:strCache>
            <c:ptCount val="1"/>
            <c:pt idx="0">
              <c:v>Patients Country of Origin.</c:v>
            </c:pt>
          </c:strCache>
        </c:strRef>
      </c:tx>
    </c:title>
    <c:plotArea>
      <c:layout/>
      <c:barChart>
        <c:barDir val="col"/>
        <c:grouping val="clustered"/>
        <c:ser>
          <c:idx val="1"/>
          <c:order val="0"/>
          <c:dLbls>
            <c:showVal val="1"/>
          </c:dLbls>
          <c:cat>
            <c:strRef>
              <c:f>'Search by PCT'!$A$58:$A$62</c:f>
              <c:strCache>
                <c:ptCount val="5"/>
                <c:pt idx="0">
                  <c:v>Ireland</c:v>
                </c:pt>
                <c:pt idx="1">
                  <c:v>United Kingdom</c:v>
                </c:pt>
                <c:pt idx="2">
                  <c:v>EU</c:v>
                </c:pt>
                <c:pt idx="3">
                  <c:v>Non-EU</c:v>
                </c:pt>
                <c:pt idx="4">
                  <c:v>Other</c:v>
                </c:pt>
              </c:strCache>
            </c:strRef>
          </c:cat>
          <c:val>
            <c:numRef>
              <c:f>'Search by PCT'!$D$58:$D$62</c:f>
              <c:numCache>
                <c:formatCode>0.0</c:formatCode>
                <c:ptCount val="5"/>
                <c:pt idx="0">
                  <c:v>0</c:v>
                </c:pt>
                <c:pt idx="1">
                  <c:v>0</c:v>
                </c:pt>
                <c:pt idx="2">
                  <c:v>0</c:v>
                </c:pt>
                <c:pt idx="3">
                  <c:v>0</c:v>
                </c:pt>
                <c:pt idx="4">
                  <c:v>0</c:v>
                </c:pt>
              </c:numCache>
            </c:numRef>
          </c:val>
        </c:ser>
        <c:dLbls/>
        <c:axId val="103134720"/>
        <c:axId val="103136256"/>
      </c:barChart>
      <c:catAx>
        <c:axId val="103134720"/>
        <c:scaling>
          <c:orientation val="minMax"/>
        </c:scaling>
        <c:axPos val="b"/>
        <c:majorTickMark val="none"/>
        <c:tickLblPos val="nextTo"/>
        <c:crossAx val="103136256"/>
        <c:crosses val="autoZero"/>
        <c:auto val="1"/>
        <c:lblAlgn val="ctr"/>
        <c:lblOffset val="100"/>
      </c:catAx>
      <c:valAx>
        <c:axId val="103136256"/>
        <c:scaling>
          <c:orientation val="minMax"/>
          <c:max val="100"/>
        </c:scaling>
        <c:axPos val="l"/>
        <c:majorGridlines/>
        <c:numFmt formatCode="0.0" sourceLinked="1"/>
        <c:majorTickMark val="none"/>
        <c:tickLblPos val="nextTo"/>
        <c:crossAx val="103134720"/>
        <c:crosses val="autoZero"/>
        <c:crossBetween val="between"/>
      </c:valAx>
    </c:plotArea>
    <c:plotVisOnly val="1"/>
    <c:dispBlanksAs val="gap"/>
  </c:chart>
  <c:printSettings>
    <c:headerFooter/>
    <c:pageMargins b="0.75000000000000488" l="0.70000000000000062" r="0.70000000000000062" t="0.75000000000000488" header="0.30000000000000032" footer="0.30000000000000032"/>
    <c:pageSetup/>
  </c:printSettings>
</c:chartSpace>
</file>

<file path=xl/charts/chart143.xml><?xml version="1.0" encoding="utf-8"?>
<c:chartSpace xmlns:c="http://schemas.openxmlformats.org/drawingml/2006/chart" xmlns:a="http://schemas.openxmlformats.org/drawingml/2006/main" xmlns:r="http://schemas.openxmlformats.org/officeDocument/2006/relationships">
  <c:lang val="en-IE"/>
  <c:chart>
    <c:title>
      <c:tx>
        <c:strRef>
          <c:f>'Search by PCT'!$A$67</c:f>
          <c:strCache>
            <c:ptCount val="1"/>
            <c:pt idx="0">
              <c:v>Primary Care Team services attended on day of survey</c:v>
            </c:pt>
          </c:strCache>
        </c:strRef>
      </c:tx>
    </c:title>
    <c:plotArea>
      <c:layout/>
      <c:barChart>
        <c:barDir val="col"/>
        <c:grouping val="clustered"/>
        <c:ser>
          <c:idx val="0"/>
          <c:order val="0"/>
          <c:dLbls>
            <c:showVal val="1"/>
          </c:dLbls>
          <c:cat>
            <c:strRef>
              <c:f>'Search by PCT'!$A$69:$A$85</c:f>
              <c:strCache>
                <c:ptCount val="17"/>
                <c:pt idx="0">
                  <c:v>GP</c:v>
                </c:pt>
                <c:pt idx="1">
                  <c:v>Practice Nurse</c:v>
                </c:pt>
                <c:pt idx="2">
                  <c:v>Public Health Nurse or Community Nurse</c:v>
                </c:pt>
                <c:pt idx="3">
                  <c:v>Physiotherapist</c:v>
                </c:pt>
                <c:pt idx="4">
                  <c:v>Occupational Therapist</c:v>
                </c:pt>
                <c:pt idx="5">
                  <c:v>SLT</c:v>
                </c:pt>
                <c:pt idx="6">
                  <c:v>Dentist</c:v>
                </c:pt>
                <c:pt idx="7">
                  <c:v>Dental Hygienist/ Nurse</c:v>
                </c:pt>
                <c:pt idx="8">
                  <c:v>Podiatrist/ Chiropodist</c:v>
                </c:pt>
                <c:pt idx="9">
                  <c:v>Dietician</c:v>
                </c:pt>
                <c:pt idx="10">
                  <c:v>Psychology</c:v>
                </c:pt>
                <c:pt idx="11">
                  <c:v>Orthodontic</c:v>
                </c:pt>
                <c:pt idx="12">
                  <c:v>Social Work</c:v>
                </c:pt>
                <c:pt idx="13">
                  <c:v>Ophthalmic</c:v>
                </c:pt>
                <c:pt idx="14">
                  <c:v>Audiology</c:v>
                </c:pt>
                <c:pt idx="15">
                  <c:v>Another service</c:v>
                </c:pt>
                <c:pt idx="16">
                  <c:v>Attended more than one service</c:v>
                </c:pt>
              </c:strCache>
            </c:strRef>
          </c:cat>
          <c:val>
            <c:numRef>
              <c:f>'Search by PCT'!$D$69:$D$85</c:f>
              <c:numCache>
                <c:formatCode>0.0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ser>
        <c:dLbls/>
        <c:axId val="103230080"/>
        <c:axId val="103240064"/>
      </c:barChart>
      <c:catAx>
        <c:axId val="103230080"/>
        <c:scaling>
          <c:orientation val="minMax"/>
        </c:scaling>
        <c:axPos val="b"/>
        <c:majorTickMark val="none"/>
        <c:tickLblPos val="nextTo"/>
        <c:crossAx val="103240064"/>
        <c:crosses val="autoZero"/>
        <c:auto val="1"/>
        <c:lblAlgn val="ctr"/>
        <c:lblOffset val="100"/>
      </c:catAx>
      <c:valAx>
        <c:axId val="103240064"/>
        <c:scaling>
          <c:orientation val="minMax"/>
          <c:max val="100"/>
        </c:scaling>
        <c:axPos val="l"/>
        <c:majorGridlines/>
        <c:numFmt formatCode="0.0" sourceLinked="1"/>
        <c:majorTickMark val="none"/>
        <c:tickLblPos val="nextTo"/>
        <c:crossAx val="103230080"/>
        <c:crosses val="autoZero"/>
        <c:crossBetween val="between"/>
      </c:valAx>
    </c:plotArea>
    <c:plotVisOnly val="1"/>
    <c:dispBlanksAs val="gap"/>
  </c:chart>
  <c:printSettings>
    <c:headerFooter/>
    <c:pageMargins b="0.75000000000000511" l="0.70000000000000062" r="0.70000000000000062" t="0.75000000000000511" header="0.30000000000000032" footer="0.30000000000000032"/>
    <c:pageSetup/>
  </c:printSettings>
</c:chartSpace>
</file>

<file path=xl/charts/chart144.xml><?xml version="1.0" encoding="utf-8"?>
<c:chartSpace xmlns:c="http://schemas.openxmlformats.org/drawingml/2006/chart" xmlns:a="http://schemas.openxmlformats.org/drawingml/2006/main" xmlns:r="http://schemas.openxmlformats.org/officeDocument/2006/relationships">
  <c:lang val="en-IE"/>
  <c:chart>
    <c:title>
      <c:tx>
        <c:strRef>
          <c:f>'Search by PCT'!$A$90</c:f>
          <c:strCache>
            <c:ptCount val="1"/>
            <c:pt idx="0">
              <c:v>Patient's experience of accessing the service</c:v>
            </c:pt>
          </c:strCache>
        </c:strRef>
      </c:tx>
    </c:title>
    <c:plotArea>
      <c:layout/>
      <c:barChart>
        <c:barDir val="col"/>
        <c:grouping val="clustered"/>
        <c:ser>
          <c:idx val="1"/>
          <c:order val="0"/>
          <c:dLbls>
            <c:showVal val="1"/>
          </c:dLbls>
          <c:cat>
            <c:strRef>
              <c:f>'Search by PCT'!$A$92:$A$98</c:f>
              <c:strCache>
                <c:ptCount val="7"/>
                <c:pt idx="0">
                  <c:v>I had no difficulties accessing the service.</c:v>
                </c:pt>
                <c:pt idx="1">
                  <c:v>The opening times were not suitable.</c:v>
                </c:pt>
                <c:pt idx="2">
                  <c:v>The waiting times for an appointment were too long.</c:v>
                </c:pt>
                <c:pt idx="3">
                  <c:v>The service I needed had not been available within the primary care team until now.</c:v>
                </c:pt>
                <c:pt idx="4">
                  <c:v>I could only get a referral to the service through another service.</c:v>
                </c:pt>
                <c:pt idx="5">
                  <c:v>Other difficulty</c:v>
                </c:pt>
                <c:pt idx="6">
                  <c:v>More than one difficulty</c:v>
                </c:pt>
              </c:strCache>
            </c:strRef>
          </c:cat>
          <c:val>
            <c:numRef>
              <c:f>'Search by PCT'!$D$92:$D$98</c:f>
              <c:numCache>
                <c:formatCode>0.0</c:formatCode>
                <c:ptCount val="7"/>
                <c:pt idx="0">
                  <c:v>0</c:v>
                </c:pt>
                <c:pt idx="1">
                  <c:v>0</c:v>
                </c:pt>
                <c:pt idx="2">
                  <c:v>0</c:v>
                </c:pt>
                <c:pt idx="3">
                  <c:v>0</c:v>
                </c:pt>
                <c:pt idx="4">
                  <c:v>0</c:v>
                </c:pt>
                <c:pt idx="5">
                  <c:v>0</c:v>
                </c:pt>
                <c:pt idx="6">
                  <c:v>0</c:v>
                </c:pt>
              </c:numCache>
            </c:numRef>
          </c:val>
        </c:ser>
        <c:dLbls/>
        <c:axId val="103277696"/>
        <c:axId val="103279232"/>
      </c:barChart>
      <c:catAx>
        <c:axId val="103277696"/>
        <c:scaling>
          <c:orientation val="minMax"/>
        </c:scaling>
        <c:axPos val="b"/>
        <c:majorTickMark val="none"/>
        <c:tickLblPos val="nextTo"/>
        <c:txPr>
          <a:bodyPr/>
          <a:lstStyle/>
          <a:p>
            <a:pPr>
              <a:defRPr sz="800"/>
            </a:pPr>
            <a:endParaRPr lang="en-US"/>
          </a:p>
        </c:txPr>
        <c:crossAx val="103279232"/>
        <c:crosses val="autoZero"/>
        <c:auto val="1"/>
        <c:lblAlgn val="ctr"/>
        <c:lblOffset val="100"/>
      </c:catAx>
      <c:valAx>
        <c:axId val="103279232"/>
        <c:scaling>
          <c:orientation val="minMax"/>
          <c:max val="100"/>
        </c:scaling>
        <c:axPos val="l"/>
        <c:majorGridlines/>
        <c:numFmt formatCode="0.0" sourceLinked="1"/>
        <c:majorTickMark val="none"/>
        <c:tickLblPos val="nextTo"/>
        <c:crossAx val="103277696"/>
        <c:crosses val="autoZero"/>
        <c:crossBetween val="between"/>
      </c:valAx>
    </c:plotArea>
    <c:plotVisOnly val="1"/>
    <c:dispBlanksAs val="gap"/>
  </c:chart>
  <c:printSettings>
    <c:headerFooter/>
    <c:pageMargins b="0.75000000000000533" l="0.70000000000000062" r="0.70000000000000062" t="0.75000000000000533" header="0.30000000000000032" footer="0.30000000000000032"/>
    <c:pageSetup/>
  </c:printSettings>
</c:chartSpace>
</file>

<file path=xl/charts/chart145.xml><?xml version="1.0" encoding="utf-8"?>
<c:chartSpace xmlns:c="http://schemas.openxmlformats.org/drawingml/2006/chart" xmlns:a="http://schemas.openxmlformats.org/drawingml/2006/main" xmlns:r="http://schemas.openxmlformats.org/officeDocument/2006/relationships">
  <c:lang val="en-IE"/>
  <c:chart>
    <c:title>
      <c:tx>
        <c:strRef>
          <c:f>'Search by PCT'!$A$103</c:f>
          <c:strCache>
            <c:ptCount val="1"/>
            <c:pt idx="0">
              <c:v>Place of patient's appointment</c:v>
            </c:pt>
          </c:strCache>
        </c:strRef>
      </c:tx>
    </c:title>
    <c:plotArea>
      <c:layout/>
      <c:barChart>
        <c:barDir val="col"/>
        <c:grouping val="clustered"/>
        <c:ser>
          <c:idx val="0"/>
          <c:order val="0"/>
          <c:dLbls>
            <c:showVal val="1"/>
          </c:dLbls>
          <c:cat>
            <c:strRef>
              <c:f>'Search by PCT'!$A$105:$A$108</c:f>
              <c:strCache>
                <c:ptCount val="4"/>
                <c:pt idx="0">
                  <c:v>Primary Care Health Centre</c:v>
                </c:pt>
                <c:pt idx="1">
                  <c:v>GP Surgery</c:v>
                </c:pt>
                <c:pt idx="2">
                  <c:v>Patient's Home</c:v>
                </c:pt>
                <c:pt idx="3">
                  <c:v>Another location</c:v>
                </c:pt>
              </c:strCache>
            </c:strRef>
          </c:cat>
          <c:val>
            <c:numRef>
              <c:f>'Search by PCT'!$D$105:$D$108</c:f>
              <c:numCache>
                <c:formatCode>0.0</c:formatCode>
                <c:ptCount val="4"/>
                <c:pt idx="0">
                  <c:v>0</c:v>
                </c:pt>
                <c:pt idx="1">
                  <c:v>0</c:v>
                </c:pt>
                <c:pt idx="2">
                  <c:v>0</c:v>
                </c:pt>
                <c:pt idx="3">
                  <c:v>0</c:v>
                </c:pt>
              </c:numCache>
            </c:numRef>
          </c:val>
        </c:ser>
        <c:dLbls/>
        <c:axId val="103319808"/>
        <c:axId val="103333888"/>
      </c:barChart>
      <c:catAx>
        <c:axId val="103319808"/>
        <c:scaling>
          <c:orientation val="minMax"/>
        </c:scaling>
        <c:axPos val="b"/>
        <c:majorTickMark val="none"/>
        <c:tickLblPos val="nextTo"/>
        <c:crossAx val="103333888"/>
        <c:crosses val="autoZero"/>
        <c:auto val="1"/>
        <c:lblAlgn val="ctr"/>
        <c:lblOffset val="100"/>
      </c:catAx>
      <c:valAx>
        <c:axId val="103333888"/>
        <c:scaling>
          <c:orientation val="minMax"/>
          <c:max val="100"/>
        </c:scaling>
        <c:axPos val="l"/>
        <c:majorGridlines/>
        <c:numFmt formatCode="0.0" sourceLinked="1"/>
        <c:majorTickMark val="none"/>
        <c:tickLblPos val="nextTo"/>
        <c:crossAx val="103319808"/>
        <c:crosses val="autoZero"/>
        <c:crossBetween val="between"/>
      </c:valAx>
    </c:plotArea>
    <c:plotVisOnly val="1"/>
    <c:dispBlanksAs val="gap"/>
  </c:chart>
  <c:txPr>
    <a:bodyPr/>
    <a:lstStyle/>
    <a:p>
      <a:pPr>
        <a:defRPr b="1"/>
      </a:pPr>
      <a:endParaRPr lang="en-US"/>
    </a:p>
  </c:txPr>
  <c:printSettings>
    <c:headerFooter/>
    <c:pageMargins b="0.75000000000000555" l="0.70000000000000062" r="0.70000000000000062" t="0.75000000000000555" header="0.30000000000000032" footer="0.30000000000000032"/>
    <c:pageSetup/>
  </c:printSettings>
</c:chartSpace>
</file>

<file path=xl/charts/chart146.xml><?xml version="1.0" encoding="utf-8"?>
<c:chartSpace xmlns:c="http://schemas.openxmlformats.org/drawingml/2006/chart" xmlns:a="http://schemas.openxmlformats.org/drawingml/2006/main" xmlns:r="http://schemas.openxmlformats.org/officeDocument/2006/relationships">
  <c:lang val="en-IE"/>
  <c:chart>
    <c:title>
      <c:tx>
        <c:strRef>
          <c:f>'Search by PCT'!$A$113</c:f>
          <c:strCache>
            <c:ptCount val="1"/>
            <c:pt idx="0">
              <c:v>Suitability of appointment time</c:v>
            </c:pt>
          </c:strCache>
        </c:strRef>
      </c:tx>
    </c:title>
    <c:plotArea>
      <c:layout/>
      <c:barChart>
        <c:barDir val="col"/>
        <c:grouping val="clustered"/>
        <c:ser>
          <c:idx val="1"/>
          <c:order val="0"/>
          <c:dLbls>
            <c:showVal val="1"/>
          </c:dLbls>
          <c:cat>
            <c:strRef>
              <c:f>'Search by PCT'!$A$115:$A$119</c:f>
              <c:strCache>
                <c:ptCount val="5"/>
                <c:pt idx="0">
                  <c:v>The appointment time given to me was most suitable.</c:v>
                </c:pt>
                <c:pt idx="1">
                  <c:v>I would have preferred an appointment time before 9am.</c:v>
                </c:pt>
                <c:pt idx="2">
                  <c:v>I would have preferred an appointment time from 12pm-1pm.</c:v>
                </c:pt>
                <c:pt idx="3">
                  <c:v>I would have preferred an appointment time from 1pm-2pm.</c:v>
                </c:pt>
                <c:pt idx="4">
                  <c:v>I would have preferred an appointment time after 5pm.</c:v>
                </c:pt>
              </c:strCache>
            </c:strRef>
          </c:cat>
          <c:val>
            <c:numRef>
              <c:f>'Search by PCT'!$D$115:$D$119</c:f>
              <c:numCache>
                <c:formatCode>0.0</c:formatCode>
                <c:ptCount val="5"/>
                <c:pt idx="0">
                  <c:v>0</c:v>
                </c:pt>
                <c:pt idx="1">
                  <c:v>0</c:v>
                </c:pt>
                <c:pt idx="2">
                  <c:v>0</c:v>
                </c:pt>
                <c:pt idx="3">
                  <c:v>0</c:v>
                </c:pt>
                <c:pt idx="4">
                  <c:v>0</c:v>
                </c:pt>
              </c:numCache>
            </c:numRef>
          </c:val>
        </c:ser>
        <c:dLbls/>
        <c:axId val="103344384"/>
        <c:axId val="103362560"/>
      </c:barChart>
      <c:catAx>
        <c:axId val="103344384"/>
        <c:scaling>
          <c:orientation val="minMax"/>
        </c:scaling>
        <c:axPos val="b"/>
        <c:majorTickMark val="none"/>
        <c:tickLblPos val="nextTo"/>
        <c:crossAx val="103362560"/>
        <c:crosses val="autoZero"/>
        <c:auto val="1"/>
        <c:lblAlgn val="ctr"/>
        <c:lblOffset val="100"/>
      </c:catAx>
      <c:valAx>
        <c:axId val="103362560"/>
        <c:scaling>
          <c:orientation val="minMax"/>
          <c:max val="100"/>
        </c:scaling>
        <c:axPos val="l"/>
        <c:majorGridlines/>
        <c:numFmt formatCode="0.0" sourceLinked="1"/>
        <c:majorTickMark val="none"/>
        <c:tickLblPos val="nextTo"/>
        <c:crossAx val="103344384"/>
        <c:crosses val="autoZero"/>
        <c:crossBetween val="between"/>
      </c:valAx>
    </c:plotArea>
    <c:plotVisOnly val="1"/>
    <c:dispBlanksAs val="gap"/>
  </c:chart>
  <c:printSettings>
    <c:headerFooter/>
    <c:pageMargins b="0.75000000000000577" l="0.70000000000000062" r="0.70000000000000062" t="0.75000000000000577" header="0.30000000000000032" footer="0.30000000000000032"/>
    <c:pageSetup/>
  </c:printSettings>
</c:chartSpace>
</file>

<file path=xl/charts/chart147.xml><?xml version="1.0" encoding="utf-8"?>
<c:chartSpace xmlns:c="http://schemas.openxmlformats.org/drawingml/2006/chart" xmlns:a="http://schemas.openxmlformats.org/drawingml/2006/main" xmlns:r="http://schemas.openxmlformats.org/officeDocument/2006/relationships">
  <c:lang val="en-IE"/>
  <c:chart>
    <c:title>
      <c:tx>
        <c:strRef>
          <c:f>'Search by PCT'!$A$124</c:f>
          <c:strCache>
            <c:ptCount val="1"/>
            <c:pt idx="0">
              <c:v>Ease of access and use of the building during visit</c:v>
            </c:pt>
          </c:strCache>
        </c:strRef>
      </c:tx>
    </c:title>
    <c:plotArea>
      <c:layout/>
      <c:barChart>
        <c:barDir val="col"/>
        <c:grouping val="clustered"/>
        <c:ser>
          <c:idx val="0"/>
          <c:order val="0"/>
          <c:dLbls>
            <c:showVal val="1"/>
          </c:dLbls>
          <c:cat>
            <c:strRef>
              <c:f>'Search by PCT'!$A$126:$A$129</c:f>
              <c:strCache>
                <c:ptCount val="4"/>
                <c:pt idx="0">
                  <c:v>Very easy</c:v>
                </c:pt>
                <c:pt idx="1">
                  <c:v>Easy</c:v>
                </c:pt>
                <c:pt idx="2">
                  <c:v>Difficult</c:v>
                </c:pt>
                <c:pt idx="3">
                  <c:v>Very difficult</c:v>
                </c:pt>
              </c:strCache>
            </c:strRef>
          </c:cat>
          <c:val>
            <c:numRef>
              <c:f>'Search by PCT'!$D$126:$D$129</c:f>
              <c:numCache>
                <c:formatCode>0.0</c:formatCode>
                <c:ptCount val="4"/>
                <c:pt idx="0">
                  <c:v>0</c:v>
                </c:pt>
                <c:pt idx="1">
                  <c:v>0</c:v>
                </c:pt>
                <c:pt idx="2">
                  <c:v>0</c:v>
                </c:pt>
                <c:pt idx="3">
                  <c:v>0</c:v>
                </c:pt>
              </c:numCache>
            </c:numRef>
          </c:val>
        </c:ser>
        <c:dLbls/>
        <c:axId val="103370112"/>
        <c:axId val="103384192"/>
      </c:barChart>
      <c:catAx>
        <c:axId val="103370112"/>
        <c:scaling>
          <c:orientation val="minMax"/>
        </c:scaling>
        <c:axPos val="b"/>
        <c:majorTickMark val="none"/>
        <c:tickLblPos val="nextTo"/>
        <c:crossAx val="103384192"/>
        <c:crosses val="autoZero"/>
        <c:auto val="1"/>
        <c:lblAlgn val="ctr"/>
        <c:lblOffset val="100"/>
      </c:catAx>
      <c:valAx>
        <c:axId val="103384192"/>
        <c:scaling>
          <c:orientation val="minMax"/>
          <c:max val="100"/>
        </c:scaling>
        <c:axPos val="l"/>
        <c:majorGridlines/>
        <c:numFmt formatCode="0.0" sourceLinked="1"/>
        <c:majorTickMark val="none"/>
        <c:tickLblPos val="nextTo"/>
        <c:crossAx val="103370112"/>
        <c:crosses val="autoZero"/>
        <c:crossBetween val="between"/>
      </c:valAx>
    </c:plotArea>
    <c:plotVisOnly val="1"/>
    <c:dispBlanksAs val="gap"/>
  </c:chart>
  <c:printSettings>
    <c:headerFooter/>
    <c:pageMargins b="0.750000000000006" l="0.70000000000000062" r="0.70000000000000062" t="0.750000000000006" header="0.30000000000000032" footer="0.30000000000000032"/>
    <c:pageSetup/>
  </c:printSettings>
</c:chartSpace>
</file>

<file path=xl/charts/chart148.xml><?xml version="1.0" encoding="utf-8"?>
<c:chartSpace xmlns:c="http://schemas.openxmlformats.org/drawingml/2006/chart" xmlns:a="http://schemas.openxmlformats.org/drawingml/2006/main" xmlns:r="http://schemas.openxmlformats.org/officeDocument/2006/relationships">
  <c:lang val="en-IE"/>
  <c:chart>
    <c:title>
      <c:tx>
        <c:strRef>
          <c:f>'Search by PCT'!$A$135</c:f>
          <c:strCache>
            <c:ptCount val="1"/>
            <c:pt idx="0">
              <c:v>Buildings and facilities cleanliness and tidiness</c:v>
            </c:pt>
          </c:strCache>
        </c:strRef>
      </c:tx>
    </c:title>
    <c:plotArea>
      <c:layout/>
      <c:barChart>
        <c:barDir val="col"/>
        <c:grouping val="clustered"/>
        <c:ser>
          <c:idx val="0"/>
          <c:order val="0"/>
          <c:dLbls>
            <c:showVal val="1"/>
          </c:dLbls>
          <c:cat>
            <c:strRef>
              <c:f>'Search by PCT'!$A$137:$A$138</c:f>
              <c:strCache>
                <c:ptCount val="2"/>
                <c:pt idx="0">
                  <c:v>Yes</c:v>
                </c:pt>
                <c:pt idx="1">
                  <c:v>No</c:v>
                </c:pt>
              </c:strCache>
            </c:strRef>
          </c:cat>
          <c:val>
            <c:numRef>
              <c:f>'Search by PCT'!$D$137:$D$138</c:f>
              <c:numCache>
                <c:formatCode>0.0</c:formatCode>
                <c:ptCount val="2"/>
                <c:pt idx="0">
                  <c:v>0</c:v>
                </c:pt>
                <c:pt idx="1">
                  <c:v>0</c:v>
                </c:pt>
              </c:numCache>
            </c:numRef>
          </c:val>
        </c:ser>
        <c:dLbls/>
        <c:axId val="103424768"/>
        <c:axId val="103426304"/>
      </c:barChart>
      <c:catAx>
        <c:axId val="103424768"/>
        <c:scaling>
          <c:orientation val="minMax"/>
        </c:scaling>
        <c:axPos val="b"/>
        <c:majorTickMark val="none"/>
        <c:tickLblPos val="nextTo"/>
        <c:crossAx val="103426304"/>
        <c:crosses val="autoZero"/>
        <c:auto val="1"/>
        <c:lblAlgn val="ctr"/>
        <c:lblOffset val="100"/>
      </c:catAx>
      <c:valAx>
        <c:axId val="103426304"/>
        <c:scaling>
          <c:orientation val="minMax"/>
          <c:max val="100"/>
        </c:scaling>
        <c:axPos val="l"/>
        <c:majorGridlines/>
        <c:numFmt formatCode="0.0" sourceLinked="1"/>
        <c:majorTickMark val="none"/>
        <c:tickLblPos val="nextTo"/>
        <c:crossAx val="103424768"/>
        <c:crosses val="autoZero"/>
        <c:crossBetween val="between"/>
      </c:valAx>
    </c:plotArea>
    <c:plotVisOnly val="1"/>
    <c:dispBlanksAs val="gap"/>
  </c:chart>
  <c:printSettings>
    <c:headerFooter/>
    <c:pageMargins b="0.75000000000000622" l="0.70000000000000062" r="0.70000000000000062" t="0.75000000000000622" header="0.30000000000000032" footer="0.30000000000000032"/>
    <c:pageSetup/>
  </c:printSettings>
</c:chartSpace>
</file>

<file path=xl/charts/chart149.xml><?xml version="1.0" encoding="utf-8"?>
<c:chartSpace xmlns:c="http://schemas.openxmlformats.org/drawingml/2006/chart" xmlns:a="http://schemas.openxmlformats.org/drawingml/2006/main" xmlns:r="http://schemas.openxmlformats.org/officeDocument/2006/relationships">
  <c:lang val="en-IE"/>
  <c:chart>
    <c:title>
      <c:tx>
        <c:strRef>
          <c:f>'Search by PCT'!$A$144</c:f>
          <c:strCache>
            <c:ptCount val="1"/>
            <c:pt idx="0">
              <c:v>Time waiting to see the healthcare professional on day of survey</c:v>
            </c:pt>
          </c:strCache>
        </c:strRef>
      </c:tx>
    </c:title>
    <c:plotArea>
      <c:layout/>
      <c:barChart>
        <c:barDir val="col"/>
        <c:grouping val="clustered"/>
        <c:ser>
          <c:idx val="0"/>
          <c:order val="0"/>
          <c:dLbls>
            <c:showVal val="1"/>
          </c:dLbls>
          <c:cat>
            <c:strRef>
              <c:f>'Search by PCT'!$A$146:$A$149</c:f>
              <c:strCache>
                <c:ptCount val="4"/>
                <c:pt idx="0">
                  <c:v>Less than 15 minutes</c:v>
                </c:pt>
                <c:pt idx="1">
                  <c:v>15 to 30 minutes</c:v>
                </c:pt>
                <c:pt idx="2">
                  <c:v>31 to 45 minutes</c:v>
                </c:pt>
                <c:pt idx="3">
                  <c:v>Over 45 minutes</c:v>
                </c:pt>
              </c:strCache>
            </c:strRef>
          </c:cat>
          <c:val>
            <c:numRef>
              <c:f>'Search by PCT'!$D$146:$D$149</c:f>
              <c:numCache>
                <c:formatCode>0.0</c:formatCode>
                <c:ptCount val="4"/>
                <c:pt idx="0">
                  <c:v>0</c:v>
                </c:pt>
                <c:pt idx="1">
                  <c:v>0</c:v>
                </c:pt>
                <c:pt idx="2">
                  <c:v>0</c:v>
                </c:pt>
                <c:pt idx="3">
                  <c:v>0</c:v>
                </c:pt>
              </c:numCache>
            </c:numRef>
          </c:val>
        </c:ser>
        <c:dLbls/>
        <c:axId val="103462784"/>
        <c:axId val="103464320"/>
      </c:barChart>
      <c:catAx>
        <c:axId val="103462784"/>
        <c:scaling>
          <c:orientation val="minMax"/>
        </c:scaling>
        <c:axPos val="b"/>
        <c:majorTickMark val="none"/>
        <c:tickLblPos val="nextTo"/>
        <c:crossAx val="103464320"/>
        <c:crosses val="autoZero"/>
        <c:auto val="1"/>
        <c:lblAlgn val="ctr"/>
        <c:lblOffset val="100"/>
      </c:catAx>
      <c:valAx>
        <c:axId val="103464320"/>
        <c:scaling>
          <c:orientation val="minMax"/>
          <c:max val="100"/>
        </c:scaling>
        <c:axPos val="l"/>
        <c:majorGridlines/>
        <c:numFmt formatCode="0.0" sourceLinked="1"/>
        <c:majorTickMark val="none"/>
        <c:tickLblPos val="nextTo"/>
        <c:crossAx val="103462784"/>
        <c:crosses val="autoZero"/>
        <c:crossBetween val="between"/>
      </c:valAx>
    </c:plotArea>
    <c:plotVisOnly val="1"/>
    <c:dispBlanksAs val="gap"/>
  </c:chart>
  <c:printSettings>
    <c:headerFooter/>
    <c:pageMargins b="0.75000000000000644" l="0.70000000000000062" r="0.70000000000000062" t="0.75000000000000644"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n-IE"/>
  <c:chart>
    <c:title>
      <c:tx>
        <c:rich>
          <a:bodyPr/>
          <a:lstStyle/>
          <a:p>
            <a:pPr>
              <a:defRPr/>
            </a:pPr>
            <a:r>
              <a:rPr lang="en-IE"/>
              <a:t>Patient felt treated with kindness and respect during your visit</a:t>
            </a:r>
          </a:p>
        </c:rich>
      </c:tx>
    </c:title>
    <c:plotArea>
      <c:layout/>
      <c:barChart>
        <c:barDir val="col"/>
        <c:grouping val="clustered"/>
        <c:ser>
          <c:idx val="0"/>
          <c:order val="0"/>
          <c:dLbls>
            <c:showVal val="1"/>
          </c:dLbls>
          <c:cat>
            <c:strRef>
              <c:f>OverallResults!$A$172:$A$173</c:f>
              <c:strCache>
                <c:ptCount val="2"/>
                <c:pt idx="0">
                  <c:v>Yes</c:v>
                </c:pt>
                <c:pt idx="1">
                  <c:v>No</c:v>
                </c:pt>
              </c:strCache>
            </c:strRef>
          </c:cat>
          <c:val>
            <c:numRef>
              <c:f>OverallResults!$D$172:$D$173</c:f>
              <c:numCache>
                <c:formatCode>0.0</c:formatCode>
                <c:ptCount val="2"/>
                <c:pt idx="0">
                  <c:v>0</c:v>
                </c:pt>
                <c:pt idx="1">
                  <c:v>0</c:v>
                </c:pt>
              </c:numCache>
            </c:numRef>
          </c:val>
        </c:ser>
        <c:dLbls/>
        <c:axId val="80204928"/>
        <c:axId val="80206464"/>
      </c:barChart>
      <c:catAx>
        <c:axId val="80204928"/>
        <c:scaling>
          <c:orientation val="minMax"/>
        </c:scaling>
        <c:axPos val="b"/>
        <c:majorTickMark val="none"/>
        <c:tickLblPos val="nextTo"/>
        <c:crossAx val="80206464"/>
        <c:crosses val="autoZero"/>
        <c:auto val="1"/>
        <c:lblAlgn val="ctr"/>
        <c:lblOffset val="100"/>
      </c:catAx>
      <c:valAx>
        <c:axId val="80206464"/>
        <c:scaling>
          <c:orientation val="minMax"/>
          <c:max val="100"/>
        </c:scaling>
        <c:axPos val="l"/>
        <c:majorGridlines/>
        <c:numFmt formatCode="0.0" sourceLinked="1"/>
        <c:majorTickMark val="none"/>
        <c:tickLblPos val="nextTo"/>
        <c:crossAx val="80204928"/>
        <c:crosses val="autoZero"/>
        <c:crossBetween val="between"/>
      </c:valAx>
    </c:plotArea>
    <c:plotVisOnly val="1"/>
    <c:dispBlanksAs val="gap"/>
  </c:chart>
  <c:printSettings>
    <c:headerFooter/>
    <c:pageMargins b="0.75000000000000644" l="0.70000000000000062" r="0.70000000000000062" t="0.75000000000000644" header="0.30000000000000032" footer="0.30000000000000032"/>
    <c:pageSetup/>
  </c:printSettings>
</c:chartSpace>
</file>

<file path=xl/charts/chart150.xml><?xml version="1.0" encoding="utf-8"?>
<c:chartSpace xmlns:c="http://schemas.openxmlformats.org/drawingml/2006/chart" xmlns:a="http://schemas.openxmlformats.org/drawingml/2006/main" xmlns:r="http://schemas.openxmlformats.org/officeDocument/2006/relationships">
  <c:lang val="en-IE"/>
  <c:chart>
    <c:title>
      <c:tx>
        <c:strRef>
          <c:f>'Search by PCT'!$A$154</c:f>
          <c:strCache>
            <c:ptCount val="1"/>
            <c:pt idx="0">
              <c:v>Healthcare professional washed or cleaned their hands prior to patient contact</c:v>
            </c:pt>
          </c:strCache>
        </c:strRef>
      </c:tx>
    </c:title>
    <c:plotArea>
      <c:layout/>
      <c:barChart>
        <c:barDir val="col"/>
        <c:grouping val="clustered"/>
        <c:ser>
          <c:idx val="0"/>
          <c:order val="0"/>
          <c:dLbls>
            <c:showVal val="1"/>
          </c:dLbls>
          <c:cat>
            <c:strRef>
              <c:f>'Search by PCT'!$A$156:$A$158</c:f>
              <c:strCache>
                <c:ptCount val="3"/>
                <c:pt idx="0">
                  <c:v>Yes</c:v>
                </c:pt>
                <c:pt idx="1">
                  <c:v>No</c:v>
                </c:pt>
                <c:pt idx="2">
                  <c:v>Can't recall</c:v>
                </c:pt>
              </c:strCache>
            </c:strRef>
          </c:cat>
          <c:val>
            <c:numRef>
              <c:f>'Search by PCT'!$D$156:$D$158</c:f>
              <c:numCache>
                <c:formatCode>0.0</c:formatCode>
                <c:ptCount val="3"/>
                <c:pt idx="0">
                  <c:v>0</c:v>
                </c:pt>
                <c:pt idx="1">
                  <c:v>0</c:v>
                </c:pt>
                <c:pt idx="2">
                  <c:v>0</c:v>
                </c:pt>
              </c:numCache>
            </c:numRef>
          </c:val>
        </c:ser>
        <c:dLbls/>
        <c:axId val="103496704"/>
        <c:axId val="103502592"/>
      </c:barChart>
      <c:catAx>
        <c:axId val="103496704"/>
        <c:scaling>
          <c:orientation val="minMax"/>
        </c:scaling>
        <c:axPos val="b"/>
        <c:majorTickMark val="none"/>
        <c:tickLblPos val="nextTo"/>
        <c:crossAx val="103502592"/>
        <c:crosses val="autoZero"/>
        <c:auto val="1"/>
        <c:lblAlgn val="ctr"/>
        <c:lblOffset val="100"/>
      </c:catAx>
      <c:valAx>
        <c:axId val="103502592"/>
        <c:scaling>
          <c:orientation val="minMax"/>
          <c:max val="100"/>
        </c:scaling>
        <c:axPos val="l"/>
        <c:majorGridlines/>
        <c:numFmt formatCode="0.0" sourceLinked="1"/>
        <c:majorTickMark val="none"/>
        <c:tickLblPos val="nextTo"/>
        <c:crossAx val="103496704"/>
        <c:crosses val="autoZero"/>
        <c:crossBetween val="between"/>
      </c:valAx>
    </c:plotArea>
    <c:plotVisOnly val="1"/>
    <c:dispBlanksAs val="gap"/>
  </c:chart>
  <c:printSettings>
    <c:headerFooter/>
    <c:pageMargins b="0.75000000000000666" l="0.70000000000000062" r="0.70000000000000062" t="0.75000000000000666" header="0.30000000000000032" footer="0.30000000000000032"/>
    <c:pageSetup/>
  </c:printSettings>
</c:chartSpace>
</file>

<file path=xl/charts/chart151.xml><?xml version="1.0" encoding="utf-8"?>
<c:chartSpace xmlns:c="http://schemas.openxmlformats.org/drawingml/2006/chart" xmlns:a="http://schemas.openxmlformats.org/drawingml/2006/main" xmlns:r="http://schemas.openxmlformats.org/officeDocument/2006/relationships">
  <c:lang val="en-IE"/>
  <c:chart>
    <c:title>
      <c:tx>
        <c:strRef>
          <c:f>'Search by PCT'!$A$163</c:f>
          <c:strCache>
            <c:ptCount val="1"/>
            <c:pt idx="0">
              <c:v>Healthcare professional introduced themselves to patient</c:v>
            </c:pt>
          </c:strCache>
        </c:strRef>
      </c:tx>
    </c:title>
    <c:plotArea>
      <c:layout/>
      <c:barChart>
        <c:barDir val="col"/>
        <c:grouping val="clustered"/>
        <c:ser>
          <c:idx val="0"/>
          <c:order val="0"/>
          <c:dLbls>
            <c:showVal val="1"/>
          </c:dLbls>
          <c:cat>
            <c:strRef>
              <c:f>'Search by PCT'!$A$165:$A$167</c:f>
              <c:strCache>
                <c:ptCount val="3"/>
                <c:pt idx="0">
                  <c:v>Yes</c:v>
                </c:pt>
                <c:pt idx="1">
                  <c:v>No</c:v>
                </c:pt>
                <c:pt idx="2">
                  <c:v>Already known to me</c:v>
                </c:pt>
              </c:strCache>
            </c:strRef>
          </c:cat>
          <c:val>
            <c:numRef>
              <c:f>'Search by PCT'!$D$165:$D$167</c:f>
              <c:numCache>
                <c:formatCode>0.0</c:formatCode>
                <c:ptCount val="3"/>
                <c:pt idx="0">
                  <c:v>0</c:v>
                </c:pt>
                <c:pt idx="1">
                  <c:v>0</c:v>
                </c:pt>
                <c:pt idx="2">
                  <c:v>0</c:v>
                </c:pt>
              </c:numCache>
            </c:numRef>
          </c:val>
        </c:ser>
        <c:dLbls/>
        <c:axId val="103530880"/>
        <c:axId val="103532416"/>
      </c:barChart>
      <c:catAx>
        <c:axId val="103530880"/>
        <c:scaling>
          <c:orientation val="minMax"/>
        </c:scaling>
        <c:axPos val="b"/>
        <c:majorTickMark val="none"/>
        <c:tickLblPos val="nextTo"/>
        <c:crossAx val="103532416"/>
        <c:crosses val="autoZero"/>
        <c:auto val="1"/>
        <c:lblAlgn val="ctr"/>
        <c:lblOffset val="100"/>
      </c:catAx>
      <c:valAx>
        <c:axId val="103532416"/>
        <c:scaling>
          <c:orientation val="minMax"/>
          <c:max val="100"/>
        </c:scaling>
        <c:axPos val="l"/>
        <c:majorGridlines/>
        <c:numFmt formatCode="0.0" sourceLinked="1"/>
        <c:majorTickMark val="none"/>
        <c:tickLblPos val="nextTo"/>
        <c:crossAx val="103530880"/>
        <c:crosses val="autoZero"/>
        <c:crossBetween val="between"/>
      </c:valAx>
    </c:plotArea>
    <c:plotVisOnly val="1"/>
    <c:dispBlanksAs val="gap"/>
  </c:chart>
  <c:printSettings>
    <c:headerFooter/>
    <c:pageMargins b="0.75000000000000688" l="0.70000000000000062" r="0.70000000000000062" t="0.75000000000000688" header="0.30000000000000032" footer="0.30000000000000032"/>
    <c:pageSetup/>
  </c:printSettings>
</c:chartSpace>
</file>

<file path=xl/charts/chart152.xml><?xml version="1.0" encoding="utf-8"?>
<c:chartSpace xmlns:c="http://schemas.openxmlformats.org/drawingml/2006/chart" xmlns:a="http://schemas.openxmlformats.org/drawingml/2006/main" xmlns:r="http://schemas.openxmlformats.org/officeDocument/2006/relationships">
  <c:lang val="en-IE"/>
  <c:chart>
    <c:title>
      <c:tx>
        <c:strRef>
          <c:f>'Search by PCT'!$A$172</c:f>
          <c:strCache>
            <c:ptCount val="1"/>
            <c:pt idx="0">
              <c:v>Patient felt treated with kindness and respect during visit</c:v>
            </c:pt>
          </c:strCache>
        </c:strRef>
      </c:tx>
    </c:title>
    <c:plotArea>
      <c:layout/>
      <c:barChart>
        <c:barDir val="col"/>
        <c:grouping val="clustered"/>
        <c:ser>
          <c:idx val="0"/>
          <c:order val="0"/>
          <c:dLbls>
            <c:showVal val="1"/>
          </c:dLbls>
          <c:cat>
            <c:strRef>
              <c:f>'Search by PCT'!$A$174:$A$175</c:f>
              <c:strCache>
                <c:ptCount val="2"/>
                <c:pt idx="0">
                  <c:v>Yes</c:v>
                </c:pt>
                <c:pt idx="1">
                  <c:v>No</c:v>
                </c:pt>
              </c:strCache>
            </c:strRef>
          </c:cat>
          <c:val>
            <c:numRef>
              <c:f>'Search by PCT'!$D$174:$D$175</c:f>
              <c:numCache>
                <c:formatCode>0.0</c:formatCode>
                <c:ptCount val="2"/>
                <c:pt idx="0">
                  <c:v>0</c:v>
                </c:pt>
                <c:pt idx="1">
                  <c:v>0</c:v>
                </c:pt>
              </c:numCache>
            </c:numRef>
          </c:val>
        </c:ser>
        <c:dLbls/>
        <c:axId val="103556608"/>
        <c:axId val="103558144"/>
      </c:barChart>
      <c:catAx>
        <c:axId val="103556608"/>
        <c:scaling>
          <c:orientation val="minMax"/>
        </c:scaling>
        <c:axPos val="b"/>
        <c:majorTickMark val="none"/>
        <c:tickLblPos val="nextTo"/>
        <c:crossAx val="103558144"/>
        <c:crosses val="autoZero"/>
        <c:auto val="1"/>
        <c:lblAlgn val="ctr"/>
        <c:lblOffset val="100"/>
      </c:catAx>
      <c:valAx>
        <c:axId val="103558144"/>
        <c:scaling>
          <c:orientation val="minMax"/>
          <c:max val="100"/>
        </c:scaling>
        <c:axPos val="l"/>
        <c:majorGridlines/>
        <c:numFmt formatCode="0.0" sourceLinked="1"/>
        <c:majorTickMark val="none"/>
        <c:tickLblPos val="nextTo"/>
        <c:crossAx val="103556608"/>
        <c:crosses val="autoZero"/>
        <c:crossBetween val="between"/>
      </c:valAx>
    </c:plotArea>
    <c:plotVisOnly val="1"/>
    <c:dispBlanksAs val="gap"/>
  </c:chart>
  <c:printSettings>
    <c:headerFooter/>
    <c:pageMargins b="0.75000000000000711" l="0.70000000000000062" r="0.70000000000000062" t="0.75000000000000711" header="0.30000000000000032" footer="0.30000000000000032"/>
    <c:pageSetup/>
  </c:printSettings>
</c:chartSpace>
</file>

<file path=xl/charts/chart153.xml><?xml version="1.0" encoding="utf-8"?>
<c:chartSpace xmlns:c="http://schemas.openxmlformats.org/drawingml/2006/chart" xmlns:a="http://schemas.openxmlformats.org/drawingml/2006/main" xmlns:r="http://schemas.openxmlformats.org/officeDocument/2006/relationships">
  <c:lang val="en-IE"/>
  <c:chart>
    <c:title>
      <c:tx>
        <c:strRef>
          <c:f>'Search by PCT'!$A$180</c:f>
          <c:strCache>
            <c:ptCount val="1"/>
            <c:pt idx="0">
              <c:v>Satisfaction with the level of privacy provided during appointment</c:v>
            </c:pt>
          </c:strCache>
        </c:strRef>
      </c:tx>
    </c:title>
    <c:plotArea>
      <c:layout/>
      <c:barChart>
        <c:barDir val="col"/>
        <c:grouping val="clustered"/>
        <c:ser>
          <c:idx val="0"/>
          <c:order val="0"/>
          <c:dLbls>
            <c:showVal val="1"/>
          </c:dLbls>
          <c:cat>
            <c:strRef>
              <c:f>'Search by PCT'!$A$182:$A$183</c:f>
              <c:strCache>
                <c:ptCount val="2"/>
                <c:pt idx="0">
                  <c:v>Yes</c:v>
                </c:pt>
                <c:pt idx="1">
                  <c:v>No</c:v>
                </c:pt>
              </c:strCache>
            </c:strRef>
          </c:cat>
          <c:val>
            <c:numRef>
              <c:f>'Search by PCT'!$D$182:$D$183</c:f>
              <c:numCache>
                <c:formatCode>0.0</c:formatCode>
                <c:ptCount val="2"/>
                <c:pt idx="0">
                  <c:v>0</c:v>
                </c:pt>
                <c:pt idx="1">
                  <c:v>0</c:v>
                </c:pt>
              </c:numCache>
            </c:numRef>
          </c:val>
        </c:ser>
        <c:dLbls/>
        <c:axId val="103574144"/>
        <c:axId val="103608704"/>
      </c:barChart>
      <c:catAx>
        <c:axId val="103574144"/>
        <c:scaling>
          <c:orientation val="minMax"/>
        </c:scaling>
        <c:axPos val="b"/>
        <c:majorTickMark val="none"/>
        <c:tickLblPos val="nextTo"/>
        <c:crossAx val="103608704"/>
        <c:crosses val="autoZero"/>
        <c:auto val="1"/>
        <c:lblAlgn val="ctr"/>
        <c:lblOffset val="100"/>
      </c:catAx>
      <c:valAx>
        <c:axId val="103608704"/>
        <c:scaling>
          <c:orientation val="minMax"/>
          <c:max val="100"/>
        </c:scaling>
        <c:axPos val="l"/>
        <c:majorGridlines/>
        <c:numFmt formatCode="0.0" sourceLinked="1"/>
        <c:majorTickMark val="none"/>
        <c:tickLblPos val="nextTo"/>
        <c:crossAx val="103574144"/>
        <c:crosses val="autoZero"/>
        <c:crossBetween val="between"/>
      </c:valAx>
    </c:plotArea>
    <c:plotVisOnly val="1"/>
    <c:dispBlanksAs val="gap"/>
  </c:chart>
  <c:printSettings>
    <c:headerFooter/>
    <c:pageMargins b="0.75000000000000733" l="0.70000000000000062" r="0.70000000000000062" t="0.75000000000000733" header="0.30000000000000032" footer="0.30000000000000032"/>
    <c:pageSetup/>
  </c:printSettings>
</c:chartSpace>
</file>

<file path=xl/charts/chart154.xml><?xml version="1.0" encoding="utf-8"?>
<c:chartSpace xmlns:c="http://schemas.openxmlformats.org/drawingml/2006/chart" xmlns:a="http://schemas.openxmlformats.org/drawingml/2006/main" xmlns:r="http://schemas.openxmlformats.org/officeDocument/2006/relationships">
  <c:lang val="en-IE"/>
  <c:chart>
    <c:title>
      <c:tx>
        <c:strRef>
          <c:f>'Search by PCT'!$A$188</c:f>
          <c:strCache>
            <c:ptCount val="1"/>
            <c:pt idx="0">
              <c:v>It was explained that, if relevant to overall care, patients information may be shared with other PCT members
about you with other members of the Primary Care Team?</c:v>
            </c:pt>
          </c:strCache>
        </c:strRef>
      </c:tx>
    </c:title>
    <c:plotArea>
      <c:layout/>
      <c:barChart>
        <c:barDir val="col"/>
        <c:grouping val="clustered"/>
        <c:ser>
          <c:idx val="0"/>
          <c:order val="0"/>
          <c:dLbls>
            <c:showVal val="1"/>
          </c:dLbls>
          <c:cat>
            <c:strRef>
              <c:f>'Search by PCT'!$A$190:$A$192</c:f>
              <c:strCache>
                <c:ptCount val="3"/>
                <c:pt idx="0">
                  <c:v>Yes</c:v>
                </c:pt>
                <c:pt idx="1">
                  <c:v>No</c:v>
                </c:pt>
                <c:pt idx="2">
                  <c:v>Not sure</c:v>
                </c:pt>
              </c:strCache>
            </c:strRef>
          </c:cat>
          <c:val>
            <c:numRef>
              <c:f>'Search by PCT'!$D$190:$D$192</c:f>
              <c:numCache>
                <c:formatCode>0.0</c:formatCode>
                <c:ptCount val="3"/>
                <c:pt idx="0">
                  <c:v>0</c:v>
                </c:pt>
                <c:pt idx="1">
                  <c:v>0</c:v>
                </c:pt>
                <c:pt idx="2">
                  <c:v>0</c:v>
                </c:pt>
              </c:numCache>
            </c:numRef>
          </c:val>
        </c:ser>
        <c:dLbls/>
        <c:axId val="103698816"/>
        <c:axId val="103700352"/>
      </c:barChart>
      <c:catAx>
        <c:axId val="103698816"/>
        <c:scaling>
          <c:orientation val="minMax"/>
        </c:scaling>
        <c:axPos val="b"/>
        <c:numFmt formatCode="General" sourceLinked="1"/>
        <c:majorTickMark val="none"/>
        <c:tickLblPos val="nextTo"/>
        <c:crossAx val="103700352"/>
        <c:crosses val="autoZero"/>
        <c:auto val="1"/>
        <c:lblAlgn val="ctr"/>
        <c:lblOffset val="100"/>
      </c:catAx>
      <c:valAx>
        <c:axId val="103700352"/>
        <c:scaling>
          <c:orientation val="minMax"/>
          <c:max val="100"/>
        </c:scaling>
        <c:axPos val="l"/>
        <c:majorGridlines/>
        <c:numFmt formatCode="0.0" sourceLinked="1"/>
        <c:majorTickMark val="none"/>
        <c:tickLblPos val="nextTo"/>
        <c:crossAx val="103698816"/>
        <c:crosses val="autoZero"/>
        <c:crossBetween val="between"/>
      </c:valAx>
    </c:plotArea>
    <c:plotVisOnly val="1"/>
    <c:dispBlanksAs val="gap"/>
  </c:chart>
  <c:printSettings>
    <c:headerFooter/>
    <c:pageMargins b="0.75000000000000755" l="0.70000000000000062" r="0.70000000000000062" t="0.75000000000000755" header="0.30000000000000032" footer="0.30000000000000032"/>
    <c:pageSetup/>
  </c:printSettings>
</c:chartSpace>
</file>

<file path=xl/charts/chart155.xml><?xml version="1.0" encoding="utf-8"?>
<c:chartSpace xmlns:c="http://schemas.openxmlformats.org/drawingml/2006/chart" xmlns:a="http://schemas.openxmlformats.org/drawingml/2006/main" xmlns:r="http://schemas.openxmlformats.org/officeDocument/2006/relationships">
  <c:lang val="en-IE"/>
  <c:chart>
    <c:title>
      <c:tx>
        <c:strRef>
          <c:f>'Search by PCT'!$A$197</c:f>
          <c:strCache>
            <c:ptCount val="1"/>
            <c:pt idx="0">
              <c:v>Advice and information provided during appointment was easy to understand</c:v>
            </c:pt>
          </c:strCache>
        </c:strRef>
      </c:tx>
    </c:title>
    <c:plotArea>
      <c:layout/>
      <c:barChart>
        <c:barDir val="col"/>
        <c:grouping val="clustered"/>
        <c:ser>
          <c:idx val="0"/>
          <c:order val="0"/>
          <c:dLbls>
            <c:showVal val="1"/>
          </c:dLbls>
          <c:cat>
            <c:strRef>
              <c:f>'Search by PCT'!$A$199:$A$200</c:f>
              <c:strCache>
                <c:ptCount val="2"/>
                <c:pt idx="0">
                  <c:v>Yes</c:v>
                </c:pt>
                <c:pt idx="1">
                  <c:v>No</c:v>
                </c:pt>
              </c:strCache>
            </c:strRef>
          </c:cat>
          <c:val>
            <c:numRef>
              <c:f>'Search by PCT'!$D$199:$D$200</c:f>
              <c:numCache>
                <c:formatCode>0.0</c:formatCode>
                <c:ptCount val="2"/>
                <c:pt idx="0">
                  <c:v>0</c:v>
                </c:pt>
                <c:pt idx="1">
                  <c:v>0</c:v>
                </c:pt>
              </c:numCache>
            </c:numRef>
          </c:val>
        </c:ser>
        <c:dLbls/>
        <c:axId val="103728640"/>
        <c:axId val="103730176"/>
      </c:barChart>
      <c:catAx>
        <c:axId val="103728640"/>
        <c:scaling>
          <c:orientation val="minMax"/>
        </c:scaling>
        <c:axPos val="b"/>
        <c:numFmt formatCode="General" sourceLinked="1"/>
        <c:majorTickMark val="none"/>
        <c:tickLblPos val="nextTo"/>
        <c:crossAx val="103730176"/>
        <c:crosses val="autoZero"/>
        <c:auto val="1"/>
        <c:lblAlgn val="ctr"/>
        <c:lblOffset val="100"/>
      </c:catAx>
      <c:valAx>
        <c:axId val="103730176"/>
        <c:scaling>
          <c:orientation val="minMax"/>
          <c:max val="100"/>
        </c:scaling>
        <c:axPos val="l"/>
        <c:majorGridlines/>
        <c:numFmt formatCode="0.0" sourceLinked="1"/>
        <c:majorTickMark val="none"/>
        <c:tickLblPos val="nextTo"/>
        <c:crossAx val="103728640"/>
        <c:crosses val="autoZero"/>
        <c:crossBetween val="between"/>
      </c:valAx>
    </c:plotArea>
    <c:plotVisOnly val="1"/>
    <c:dispBlanksAs val="gap"/>
  </c:chart>
  <c:printSettings>
    <c:headerFooter/>
    <c:pageMargins b="0.75000000000000777" l="0.70000000000000062" r="0.70000000000000062" t="0.75000000000000777" header="0.30000000000000032" footer="0.30000000000000032"/>
    <c:pageSetup/>
  </c:printSettings>
</c:chartSpace>
</file>

<file path=xl/charts/chart156.xml><?xml version="1.0" encoding="utf-8"?>
<c:chartSpace xmlns:c="http://schemas.openxmlformats.org/drawingml/2006/chart" xmlns:a="http://schemas.openxmlformats.org/drawingml/2006/main" xmlns:r="http://schemas.openxmlformats.org/officeDocument/2006/relationships">
  <c:lang val="en-IE"/>
  <c:chart>
    <c:title>
      <c:tx>
        <c:strRef>
          <c:f>'Search by PCT'!$A$206</c:f>
          <c:strCache>
            <c:ptCount val="1"/>
            <c:pt idx="0">
              <c:v>Enough time provided during appointment to ask questions and discuss your health problems and concerns</c:v>
            </c:pt>
          </c:strCache>
        </c:strRef>
      </c:tx>
    </c:title>
    <c:plotArea>
      <c:layout/>
      <c:barChart>
        <c:barDir val="col"/>
        <c:grouping val="clustered"/>
        <c:ser>
          <c:idx val="0"/>
          <c:order val="0"/>
          <c:dLbls>
            <c:showVal val="1"/>
          </c:dLbls>
          <c:cat>
            <c:strRef>
              <c:f>'Search by PCT'!$A$208:$A$209</c:f>
              <c:strCache>
                <c:ptCount val="2"/>
                <c:pt idx="0">
                  <c:v>Yes</c:v>
                </c:pt>
                <c:pt idx="1">
                  <c:v>No</c:v>
                </c:pt>
              </c:strCache>
            </c:strRef>
          </c:cat>
          <c:val>
            <c:numRef>
              <c:f>'Search by PCT'!$D$208:$D$209</c:f>
              <c:numCache>
                <c:formatCode>0.0</c:formatCode>
                <c:ptCount val="2"/>
                <c:pt idx="0">
                  <c:v>0</c:v>
                </c:pt>
                <c:pt idx="1">
                  <c:v>0</c:v>
                </c:pt>
              </c:numCache>
            </c:numRef>
          </c:val>
        </c:ser>
        <c:dLbls/>
        <c:axId val="103754368"/>
        <c:axId val="103764352"/>
      </c:barChart>
      <c:catAx>
        <c:axId val="103754368"/>
        <c:scaling>
          <c:orientation val="minMax"/>
        </c:scaling>
        <c:axPos val="b"/>
        <c:numFmt formatCode="General" sourceLinked="1"/>
        <c:majorTickMark val="none"/>
        <c:tickLblPos val="nextTo"/>
        <c:crossAx val="103764352"/>
        <c:crosses val="autoZero"/>
        <c:auto val="1"/>
        <c:lblAlgn val="ctr"/>
        <c:lblOffset val="100"/>
      </c:catAx>
      <c:valAx>
        <c:axId val="103764352"/>
        <c:scaling>
          <c:orientation val="minMax"/>
          <c:max val="100"/>
        </c:scaling>
        <c:axPos val="l"/>
        <c:majorGridlines/>
        <c:numFmt formatCode="0.0" sourceLinked="1"/>
        <c:majorTickMark val="none"/>
        <c:tickLblPos val="nextTo"/>
        <c:crossAx val="103754368"/>
        <c:crosses val="autoZero"/>
        <c:crossBetween val="between"/>
      </c:valAx>
    </c:plotArea>
    <c:plotVisOnly val="1"/>
    <c:dispBlanksAs val="gap"/>
  </c:chart>
  <c:printSettings>
    <c:headerFooter/>
    <c:pageMargins b="0.75000000000000799" l="0.70000000000000062" r="0.70000000000000062" t="0.75000000000000799" header="0.30000000000000032" footer="0.30000000000000032"/>
    <c:pageSetup/>
  </c:printSettings>
</c:chartSpace>
</file>

<file path=xl/charts/chart157.xml><?xml version="1.0" encoding="utf-8"?>
<c:chartSpace xmlns:c="http://schemas.openxmlformats.org/drawingml/2006/chart" xmlns:a="http://schemas.openxmlformats.org/drawingml/2006/main" xmlns:r="http://schemas.openxmlformats.org/officeDocument/2006/relationships">
  <c:lang val="en-IE"/>
  <c:chart>
    <c:title>
      <c:tx>
        <c:strRef>
          <c:f>'Search by PCT'!$A$214</c:f>
          <c:strCache>
            <c:ptCount val="1"/>
            <c:pt idx="0">
              <c:v>Were you involved in making decisions about your care and treatment?</c:v>
            </c:pt>
          </c:strCache>
        </c:strRef>
      </c:tx>
    </c:title>
    <c:plotArea>
      <c:layout/>
      <c:barChart>
        <c:barDir val="col"/>
        <c:grouping val="clustered"/>
        <c:ser>
          <c:idx val="0"/>
          <c:order val="0"/>
          <c:dLbls>
            <c:showVal val="1"/>
          </c:dLbls>
          <c:cat>
            <c:strRef>
              <c:f>'Search by PCT'!$A$216:$A$217</c:f>
              <c:strCache>
                <c:ptCount val="2"/>
                <c:pt idx="0">
                  <c:v>Yes</c:v>
                </c:pt>
                <c:pt idx="1">
                  <c:v>No</c:v>
                </c:pt>
              </c:strCache>
            </c:strRef>
          </c:cat>
          <c:val>
            <c:numRef>
              <c:f>'Search by PCT'!$D$216:$D$217</c:f>
              <c:numCache>
                <c:formatCode>0.0</c:formatCode>
                <c:ptCount val="2"/>
                <c:pt idx="0">
                  <c:v>0</c:v>
                </c:pt>
                <c:pt idx="1">
                  <c:v>0</c:v>
                </c:pt>
              </c:numCache>
            </c:numRef>
          </c:val>
        </c:ser>
        <c:dLbls/>
        <c:axId val="103818752"/>
        <c:axId val="103820288"/>
      </c:barChart>
      <c:catAx>
        <c:axId val="103818752"/>
        <c:scaling>
          <c:orientation val="minMax"/>
        </c:scaling>
        <c:axPos val="b"/>
        <c:numFmt formatCode="General" sourceLinked="1"/>
        <c:majorTickMark val="none"/>
        <c:tickLblPos val="nextTo"/>
        <c:txPr>
          <a:bodyPr/>
          <a:lstStyle/>
          <a:p>
            <a:pPr>
              <a:defRPr sz="800"/>
            </a:pPr>
            <a:endParaRPr lang="en-US"/>
          </a:p>
        </c:txPr>
        <c:crossAx val="103820288"/>
        <c:crosses val="autoZero"/>
        <c:auto val="1"/>
        <c:lblAlgn val="ctr"/>
        <c:lblOffset val="100"/>
      </c:catAx>
      <c:valAx>
        <c:axId val="103820288"/>
        <c:scaling>
          <c:orientation val="minMax"/>
          <c:max val="100"/>
        </c:scaling>
        <c:axPos val="l"/>
        <c:majorGridlines/>
        <c:numFmt formatCode="0.0" sourceLinked="1"/>
        <c:majorTickMark val="none"/>
        <c:tickLblPos val="nextTo"/>
        <c:crossAx val="103818752"/>
        <c:crosses val="autoZero"/>
        <c:crossBetween val="between"/>
      </c:valAx>
    </c:plotArea>
    <c:plotVisOnly val="1"/>
    <c:dispBlanksAs val="gap"/>
  </c:chart>
  <c:printSettings>
    <c:headerFooter/>
    <c:pageMargins b="0.75000000000000822" l="0.70000000000000062" r="0.70000000000000062" t="0.75000000000000822" header="0.30000000000000032" footer="0.30000000000000032"/>
    <c:pageSetup/>
  </c:printSettings>
</c:chartSpace>
</file>

<file path=xl/charts/chart158.xml><?xml version="1.0" encoding="utf-8"?>
<c:chartSpace xmlns:c="http://schemas.openxmlformats.org/drawingml/2006/chart" xmlns:a="http://schemas.openxmlformats.org/drawingml/2006/main" xmlns:r="http://schemas.openxmlformats.org/officeDocument/2006/relationships">
  <c:lang val="en-IE"/>
  <c:chart>
    <c:title>
      <c:tx>
        <c:strRef>
          <c:f>'Search by PCT'!$A$222</c:f>
          <c:strCache>
            <c:ptCount val="1"/>
            <c:pt idx="0">
              <c:v>Information or advice received on Quitting smoking during your visit</c:v>
            </c:pt>
          </c:strCache>
        </c:strRef>
      </c:tx>
    </c:title>
    <c:plotArea>
      <c:layout/>
      <c:barChart>
        <c:barDir val="col"/>
        <c:grouping val="clustered"/>
        <c:ser>
          <c:idx val="0"/>
          <c:order val="0"/>
          <c:dLbls>
            <c:showVal val="1"/>
          </c:dLbls>
          <c:cat>
            <c:strRef>
              <c:f>'Search by PCT'!$A$224:$A$225</c:f>
              <c:strCache>
                <c:ptCount val="2"/>
                <c:pt idx="0">
                  <c:v>Yes</c:v>
                </c:pt>
                <c:pt idx="1">
                  <c:v>No</c:v>
                </c:pt>
              </c:strCache>
            </c:strRef>
          </c:cat>
          <c:val>
            <c:numRef>
              <c:f>'Search by PCT'!$D$224:$D$225</c:f>
              <c:numCache>
                <c:formatCode>0.0</c:formatCode>
                <c:ptCount val="2"/>
                <c:pt idx="0">
                  <c:v>0</c:v>
                </c:pt>
                <c:pt idx="1">
                  <c:v>0</c:v>
                </c:pt>
              </c:numCache>
            </c:numRef>
          </c:val>
        </c:ser>
        <c:dLbls/>
        <c:axId val="103839232"/>
        <c:axId val="103840768"/>
      </c:barChart>
      <c:catAx>
        <c:axId val="103839232"/>
        <c:scaling>
          <c:orientation val="minMax"/>
        </c:scaling>
        <c:axPos val="b"/>
        <c:numFmt formatCode="General" sourceLinked="1"/>
        <c:majorTickMark val="none"/>
        <c:tickLblPos val="nextTo"/>
        <c:crossAx val="103840768"/>
        <c:crosses val="autoZero"/>
        <c:auto val="1"/>
        <c:lblAlgn val="ctr"/>
        <c:lblOffset val="100"/>
      </c:catAx>
      <c:valAx>
        <c:axId val="103840768"/>
        <c:scaling>
          <c:orientation val="minMax"/>
          <c:max val="100"/>
        </c:scaling>
        <c:axPos val="l"/>
        <c:majorGridlines/>
        <c:numFmt formatCode="0.0" sourceLinked="1"/>
        <c:majorTickMark val="none"/>
        <c:tickLblPos val="nextTo"/>
        <c:crossAx val="103839232"/>
        <c:crosses val="autoZero"/>
        <c:crossBetween val="between"/>
      </c:valAx>
    </c:plotArea>
    <c:plotVisOnly val="1"/>
    <c:dispBlanksAs val="gap"/>
  </c:chart>
  <c:printSettings>
    <c:headerFooter/>
    <c:pageMargins b="0.75000000000000822" l="0.70000000000000062" r="0.70000000000000062" t="0.75000000000000822" header="0.30000000000000032" footer="0.30000000000000032"/>
    <c:pageSetup/>
  </c:printSettings>
</c:chartSpace>
</file>

<file path=xl/charts/chart159.xml><?xml version="1.0" encoding="utf-8"?>
<c:chartSpace xmlns:c="http://schemas.openxmlformats.org/drawingml/2006/chart" xmlns:a="http://schemas.openxmlformats.org/drawingml/2006/main" xmlns:r="http://schemas.openxmlformats.org/officeDocument/2006/relationships">
  <c:lang val="en-IE"/>
  <c:chart>
    <c:title>
      <c:tx>
        <c:strRef>
          <c:f>'Search by PCT'!$A$231</c:f>
          <c:strCache>
            <c:ptCount val="1"/>
            <c:pt idx="0">
              <c:v>Information or advice received  on Losing weight during your visit today</c:v>
            </c:pt>
          </c:strCache>
        </c:strRef>
      </c:tx>
    </c:title>
    <c:plotArea>
      <c:layout/>
      <c:barChart>
        <c:barDir val="col"/>
        <c:grouping val="clustered"/>
        <c:ser>
          <c:idx val="0"/>
          <c:order val="0"/>
          <c:dLbls>
            <c:showVal val="1"/>
          </c:dLbls>
          <c:cat>
            <c:strRef>
              <c:f>'Search by PCT'!$A$233:$A$234</c:f>
              <c:strCache>
                <c:ptCount val="2"/>
                <c:pt idx="0">
                  <c:v>Yes</c:v>
                </c:pt>
                <c:pt idx="1">
                  <c:v>No</c:v>
                </c:pt>
              </c:strCache>
            </c:strRef>
          </c:cat>
          <c:val>
            <c:numRef>
              <c:f>'Search by PCT'!$D$233:$D$234</c:f>
              <c:numCache>
                <c:formatCode>0.0</c:formatCode>
                <c:ptCount val="2"/>
                <c:pt idx="0">
                  <c:v>0</c:v>
                </c:pt>
                <c:pt idx="1">
                  <c:v>0</c:v>
                </c:pt>
              </c:numCache>
            </c:numRef>
          </c:val>
        </c:ser>
        <c:dLbls/>
        <c:axId val="103873152"/>
        <c:axId val="103879040"/>
      </c:barChart>
      <c:catAx>
        <c:axId val="103873152"/>
        <c:scaling>
          <c:orientation val="minMax"/>
        </c:scaling>
        <c:axPos val="b"/>
        <c:numFmt formatCode="General" sourceLinked="1"/>
        <c:majorTickMark val="none"/>
        <c:tickLblPos val="nextTo"/>
        <c:crossAx val="103879040"/>
        <c:crosses val="autoZero"/>
        <c:auto val="1"/>
        <c:lblAlgn val="ctr"/>
        <c:lblOffset val="100"/>
      </c:catAx>
      <c:valAx>
        <c:axId val="103879040"/>
        <c:scaling>
          <c:orientation val="minMax"/>
          <c:max val="100"/>
        </c:scaling>
        <c:axPos val="l"/>
        <c:majorGridlines/>
        <c:numFmt formatCode="0.0" sourceLinked="1"/>
        <c:majorTickMark val="none"/>
        <c:tickLblPos val="nextTo"/>
        <c:crossAx val="103873152"/>
        <c:crosses val="autoZero"/>
        <c:crossBetween val="between"/>
      </c:valAx>
    </c:plotArea>
    <c:plotVisOnly val="1"/>
    <c:dispBlanksAs val="gap"/>
  </c:chart>
  <c:printSettings>
    <c:headerFooter/>
    <c:pageMargins b="0.75000000000000777" l="0.70000000000000062" r="0.70000000000000062" t="0.75000000000000777"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n-IE"/>
  <c:chart>
    <c:title>
      <c:tx>
        <c:rich>
          <a:bodyPr/>
          <a:lstStyle/>
          <a:p>
            <a:pPr>
              <a:defRPr/>
            </a:pPr>
            <a:r>
              <a:rPr lang="en-IE"/>
              <a:t>Satisfaction with the level of privacy provided to</a:t>
            </a:r>
            <a:r>
              <a:rPr lang="en-IE" baseline="0"/>
              <a:t> </a:t>
            </a:r>
            <a:r>
              <a:rPr lang="en-IE"/>
              <a:t>during appointment</a:t>
            </a:r>
          </a:p>
        </c:rich>
      </c:tx>
    </c:title>
    <c:plotArea>
      <c:layout/>
      <c:barChart>
        <c:barDir val="col"/>
        <c:grouping val="clustered"/>
        <c:ser>
          <c:idx val="0"/>
          <c:order val="0"/>
          <c:dLbls>
            <c:showVal val="1"/>
          </c:dLbls>
          <c:cat>
            <c:strRef>
              <c:f>OverallResults!$A$180:$A$181</c:f>
              <c:strCache>
                <c:ptCount val="2"/>
                <c:pt idx="0">
                  <c:v>Yes</c:v>
                </c:pt>
                <c:pt idx="1">
                  <c:v>No</c:v>
                </c:pt>
              </c:strCache>
            </c:strRef>
          </c:cat>
          <c:val>
            <c:numRef>
              <c:f>OverallResults!$D$180:$D$181</c:f>
              <c:numCache>
                <c:formatCode>0.0</c:formatCode>
                <c:ptCount val="2"/>
                <c:pt idx="0">
                  <c:v>0</c:v>
                </c:pt>
                <c:pt idx="1">
                  <c:v>0</c:v>
                </c:pt>
              </c:numCache>
            </c:numRef>
          </c:val>
        </c:ser>
        <c:dLbls/>
        <c:axId val="80521472"/>
        <c:axId val="80551936"/>
      </c:barChart>
      <c:catAx>
        <c:axId val="80521472"/>
        <c:scaling>
          <c:orientation val="minMax"/>
        </c:scaling>
        <c:axPos val="b"/>
        <c:majorTickMark val="none"/>
        <c:tickLblPos val="nextTo"/>
        <c:crossAx val="80551936"/>
        <c:crosses val="autoZero"/>
        <c:auto val="1"/>
        <c:lblAlgn val="ctr"/>
        <c:lblOffset val="100"/>
      </c:catAx>
      <c:valAx>
        <c:axId val="80551936"/>
        <c:scaling>
          <c:orientation val="minMax"/>
          <c:max val="100"/>
        </c:scaling>
        <c:axPos val="l"/>
        <c:majorGridlines/>
        <c:numFmt formatCode="0.0" sourceLinked="1"/>
        <c:majorTickMark val="none"/>
        <c:tickLblPos val="nextTo"/>
        <c:crossAx val="80521472"/>
        <c:crosses val="autoZero"/>
        <c:crossBetween val="between"/>
      </c:valAx>
    </c:plotArea>
    <c:plotVisOnly val="1"/>
    <c:dispBlanksAs val="gap"/>
  </c:chart>
  <c:printSettings>
    <c:headerFooter/>
    <c:pageMargins b="0.75000000000000666" l="0.70000000000000062" r="0.70000000000000062" t="0.75000000000000666" header="0.30000000000000032" footer="0.30000000000000032"/>
    <c:pageSetup/>
  </c:printSettings>
</c:chartSpace>
</file>

<file path=xl/charts/chart160.xml><?xml version="1.0" encoding="utf-8"?>
<c:chartSpace xmlns:c="http://schemas.openxmlformats.org/drawingml/2006/chart" xmlns:a="http://schemas.openxmlformats.org/drawingml/2006/main" xmlns:r="http://schemas.openxmlformats.org/officeDocument/2006/relationships">
  <c:lang val="en-IE"/>
  <c:chart>
    <c:title>
      <c:tx>
        <c:strRef>
          <c:f>'Search by PCT'!$A$240</c:f>
          <c:strCache>
            <c:ptCount val="1"/>
            <c:pt idx="0">
              <c:v>Information or advice received  on Nutrition and healthy eating during your visit</c:v>
            </c:pt>
          </c:strCache>
        </c:strRef>
      </c:tx>
    </c:title>
    <c:plotArea>
      <c:layout/>
      <c:barChart>
        <c:barDir val="col"/>
        <c:grouping val="clustered"/>
        <c:ser>
          <c:idx val="0"/>
          <c:order val="0"/>
          <c:dLbls>
            <c:showVal val="1"/>
          </c:dLbls>
          <c:cat>
            <c:strRef>
              <c:f>'Search by PCT'!$A$242:$A$243</c:f>
              <c:strCache>
                <c:ptCount val="2"/>
                <c:pt idx="0">
                  <c:v>Yes</c:v>
                </c:pt>
                <c:pt idx="1">
                  <c:v>No</c:v>
                </c:pt>
              </c:strCache>
            </c:strRef>
          </c:cat>
          <c:val>
            <c:numRef>
              <c:f>'Search by PCT'!$D$242:$D$243</c:f>
              <c:numCache>
                <c:formatCode>0.0</c:formatCode>
                <c:ptCount val="2"/>
                <c:pt idx="0">
                  <c:v>0</c:v>
                </c:pt>
                <c:pt idx="1">
                  <c:v>0</c:v>
                </c:pt>
              </c:numCache>
            </c:numRef>
          </c:val>
        </c:ser>
        <c:dLbls/>
        <c:axId val="103915520"/>
        <c:axId val="103917056"/>
      </c:barChart>
      <c:catAx>
        <c:axId val="103915520"/>
        <c:scaling>
          <c:orientation val="minMax"/>
        </c:scaling>
        <c:axPos val="b"/>
        <c:numFmt formatCode="General" sourceLinked="1"/>
        <c:majorTickMark val="none"/>
        <c:tickLblPos val="nextTo"/>
        <c:crossAx val="103917056"/>
        <c:crosses val="autoZero"/>
        <c:auto val="1"/>
        <c:lblAlgn val="ctr"/>
        <c:lblOffset val="100"/>
      </c:catAx>
      <c:valAx>
        <c:axId val="103917056"/>
        <c:scaling>
          <c:orientation val="minMax"/>
          <c:max val="100"/>
        </c:scaling>
        <c:axPos val="l"/>
        <c:majorGridlines/>
        <c:numFmt formatCode="0.0" sourceLinked="1"/>
        <c:majorTickMark val="none"/>
        <c:tickLblPos val="nextTo"/>
        <c:crossAx val="103915520"/>
        <c:crosses val="autoZero"/>
        <c:crossBetween val="between"/>
      </c:valAx>
    </c:plotArea>
    <c:plotVisOnly val="1"/>
    <c:dispBlanksAs val="gap"/>
  </c:chart>
  <c:printSettings>
    <c:headerFooter/>
    <c:pageMargins b="0.75000000000000799" l="0.70000000000000062" r="0.70000000000000062" t="0.75000000000000799" header="0.30000000000000032" footer="0.30000000000000032"/>
    <c:pageSetup/>
  </c:printSettings>
</c:chartSpace>
</file>

<file path=xl/charts/chart161.xml><?xml version="1.0" encoding="utf-8"?>
<c:chartSpace xmlns:c="http://schemas.openxmlformats.org/drawingml/2006/chart" xmlns:a="http://schemas.openxmlformats.org/drawingml/2006/main" xmlns:r="http://schemas.openxmlformats.org/officeDocument/2006/relationships">
  <c:lang val="en-IE"/>
  <c:chart>
    <c:title>
      <c:tx>
        <c:strRef>
          <c:f>'Search by PCT'!$A$249</c:f>
          <c:strCache>
            <c:ptCount val="1"/>
            <c:pt idx="0">
              <c:v>Information or advice received on Physical activity during your visit today</c:v>
            </c:pt>
          </c:strCache>
        </c:strRef>
      </c:tx>
    </c:title>
    <c:plotArea>
      <c:layout/>
      <c:barChart>
        <c:barDir val="col"/>
        <c:grouping val="clustered"/>
        <c:ser>
          <c:idx val="0"/>
          <c:order val="0"/>
          <c:dLbls>
            <c:showVal val="1"/>
          </c:dLbls>
          <c:cat>
            <c:strRef>
              <c:f>'Search by PCT'!$A$251:$A$252</c:f>
              <c:strCache>
                <c:ptCount val="2"/>
                <c:pt idx="0">
                  <c:v>Yes</c:v>
                </c:pt>
                <c:pt idx="1">
                  <c:v>No</c:v>
                </c:pt>
              </c:strCache>
            </c:strRef>
          </c:cat>
          <c:val>
            <c:numRef>
              <c:f>'Search by PCT'!$D$251:$D$252</c:f>
              <c:numCache>
                <c:formatCode>0.0</c:formatCode>
                <c:ptCount val="2"/>
                <c:pt idx="0">
                  <c:v>0</c:v>
                </c:pt>
                <c:pt idx="1">
                  <c:v>0</c:v>
                </c:pt>
              </c:numCache>
            </c:numRef>
          </c:val>
        </c:ser>
        <c:dLbls/>
        <c:axId val="103936768"/>
        <c:axId val="103938304"/>
      </c:barChart>
      <c:catAx>
        <c:axId val="103936768"/>
        <c:scaling>
          <c:orientation val="minMax"/>
        </c:scaling>
        <c:axPos val="b"/>
        <c:numFmt formatCode="General" sourceLinked="1"/>
        <c:majorTickMark val="none"/>
        <c:tickLblPos val="nextTo"/>
        <c:crossAx val="103938304"/>
        <c:crosses val="autoZero"/>
        <c:auto val="1"/>
        <c:lblAlgn val="ctr"/>
        <c:lblOffset val="100"/>
      </c:catAx>
      <c:valAx>
        <c:axId val="103938304"/>
        <c:scaling>
          <c:orientation val="minMax"/>
          <c:max val="100"/>
        </c:scaling>
        <c:axPos val="l"/>
        <c:majorGridlines/>
        <c:numFmt formatCode="0.0" sourceLinked="1"/>
        <c:majorTickMark val="none"/>
        <c:tickLblPos val="nextTo"/>
        <c:crossAx val="103936768"/>
        <c:crosses val="autoZero"/>
        <c:crossBetween val="between"/>
      </c:valAx>
    </c:plotArea>
    <c:plotVisOnly val="1"/>
    <c:dispBlanksAs val="gap"/>
  </c:chart>
  <c:printSettings>
    <c:headerFooter/>
    <c:pageMargins b="0.75000000000000822" l="0.70000000000000062" r="0.70000000000000062" t="0.75000000000000822" header="0.30000000000000032" footer="0.30000000000000032"/>
    <c:pageSetup/>
  </c:printSettings>
</c:chartSpace>
</file>

<file path=xl/charts/chart162.xml><?xml version="1.0" encoding="utf-8"?>
<c:chartSpace xmlns:c="http://schemas.openxmlformats.org/drawingml/2006/chart" xmlns:a="http://schemas.openxmlformats.org/drawingml/2006/main" xmlns:r="http://schemas.openxmlformats.org/officeDocument/2006/relationships">
  <c:lang val="en-IE"/>
  <c:chart>
    <c:title>
      <c:tx>
        <c:strRef>
          <c:f>'Search by PCT'!$A$258</c:f>
          <c:strCache>
            <c:ptCount val="1"/>
            <c:pt idx="0">
              <c:v>Information or advice received on Alcohol use during your visit </c:v>
            </c:pt>
          </c:strCache>
        </c:strRef>
      </c:tx>
    </c:title>
    <c:plotArea>
      <c:layout/>
      <c:barChart>
        <c:barDir val="col"/>
        <c:grouping val="clustered"/>
        <c:ser>
          <c:idx val="0"/>
          <c:order val="0"/>
          <c:dLbls>
            <c:showVal val="1"/>
          </c:dLbls>
          <c:cat>
            <c:strRef>
              <c:f>'Search by PCT'!$A$260:$A$261</c:f>
              <c:strCache>
                <c:ptCount val="2"/>
                <c:pt idx="0">
                  <c:v>Yes</c:v>
                </c:pt>
                <c:pt idx="1">
                  <c:v>No</c:v>
                </c:pt>
              </c:strCache>
            </c:strRef>
          </c:cat>
          <c:val>
            <c:numRef>
              <c:f>'Search by PCT'!$D$260:$D$261</c:f>
              <c:numCache>
                <c:formatCode>0.0</c:formatCode>
                <c:ptCount val="2"/>
                <c:pt idx="0">
                  <c:v>0</c:v>
                </c:pt>
                <c:pt idx="1">
                  <c:v>0</c:v>
                </c:pt>
              </c:numCache>
            </c:numRef>
          </c:val>
        </c:ser>
        <c:dLbls/>
        <c:axId val="103982976"/>
        <c:axId val="103984512"/>
      </c:barChart>
      <c:catAx>
        <c:axId val="103982976"/>
        <c:scaling>
          <c:orientation val="minMax"/>
        </c:scaling>
        <c:axPos val="b"/>
        <c:numFmt formatCode="General" sourceLinked="1"/>
        <c:majorTickMark val="none"/>
        <c:tickLblPos val="nextTo"/>
        <c:crossAx val="103984512"/>
        <c:crosses val="autoZero"/>
        <c:auto val="1"/>
        <c:lblAlgn val="ctr"/>
        <c:lblOffset val="100"/>
      </c:catAx>
      <c:valAx>
        <c:axId val="103984512"/>
        <c:scaling>
          <c:orientation val="minMax"/>
          <c:max val="100"/>
        </c:scaling>
        <c:axPos val="l"/>
        <c:majorGridlines/>
        <c:numFmt formatCode="0.0" sourceLinked="1"/>
        <c:majorTickMark val="none"/>
        <c:tickLblPos val="nextTo"/>
        <c:crossAx val="103982976"/>
        <c:crosses val="autoZero"/>
        <c:crossBetween val="between"/>
      </c:valAx>
    </c:plotArea>
    <c:plotVisOnly val="1"/>
    <c:dispBlanksAs val="gap"/>
  </c:chart>
  <c:printSettings>
    <c:headerFooter/>
    <c:pageMargins b="0.75000000000000844" l="0.70000000000000062" r="0.70000000000000062" t="0.75000000000000844" header="0.30000000000000032" footer="0.30000000000000032"/>
    <c:pageSetup/>
  </c:printSettings>
</c:chartSpace>
</file>

<file path=xl/charts/chart163.xml><?xml version="1.0" encoding="utf-8"?>
<c:chartSpace xmlns:c="http://schemas.openxmlformats.org/drawingml/2006/chart" xmlns:a="http://schemas.openxmlformats.org/drawingml/2006/main" xmlns:r="http://schemas.openxmlformats.org/officeDocument/2006/relationships">
  <c:lang val="en-IE"/>
  <c:chart>
    <c:title>
      <c:tx>
        <c:strRef>
          <c:f>'Search by PCT'!$A$267</c:f>
          <c:strCache>
            <c:ptCount val="1"/>
            <c:pt idx="0">
              <c:v>Information or advice received Mental health and wellbeing during your visit</c:v>
            </c:pt>
          </c:strCache>
        </c:strRef>
      </c:tx>
    </c:title>
    <c:plotArea>
      <c:layout/>
      <c:barChart>
        <c:barDir val="col"/>
        <c:grouping val="clustered"/>
        <c:ser>
          <c:idx val="0"/>
          <c:order val="0"/>
          <c:dLbls>
            <c:showVal val="1"/>
          </c:dLbls>
          <c:cat>
            <c:strRef>
              <c:f>'Search by PCT'!$A$269:$A$270</c:f>
              <c:strCache>
                <c:ptCount val="2"/>
                <c:pt idx="0">
                  <c:v>Yes</c:v>
                </c:pt>
                <c:pt idx="1">
                  <c:v>No</c:v>
                </c:pt>
              </c:strCache>
            </c:strRef>
          </c:cat>
          <c:val>
            <c:numRef>
              <c:f>'Search by PCT'!$D$269:$D$270</c:f>
              <c:numCache>
                <c:formatCode>0.0</c:formatCode>
                <c:ptCount val="2"/>
                <c:pt idx="0">
                  <c:v>0</c:v>
                </c:pt>
                <c:pt idx="1">
                  <c:v>0</c:v>
                </c:pt>
              </c:numCache>
            </c:numRef>
          </c:val>
        </c:ser>
        <c:dLbls/>
        <c:axId val="104000512"/>
        <c:axId val="104076032"/>
      </c:barChart>
      <c:catAx>
        <c:axId val="104000512"/>
        <c:scaling>
          <c:orientation val="minMax"/>
        </c:scaling>
        <c:axPos val="b"/>
        <c:numFmt formatCode="General" sourceLinked="1"/>
        <c:majorTickMark val="none"/>
        <c:tickLblPos val="nextTo"/>
        <c:crossAx val="104076032"/>
        <c:crosses val="autoZero"/>
        <c:auto val="1"/>
        <c:lblAlgn val="ctr"/>
        <c:lblOffset val="100"/>
      </c:catAx>
      <c:valAx>
        <c:axId val="104076032"/>
        <c:scaling>
          <c:orientation val="minMax"/>
          <c:max val="100"/>
        </c:scaling>
        <c:axPos val="l"/>
        <c:majorGridlines/>
        <c:numFmt formatCode="0.0" sourceLinked="1"/>
        <c:majorTickMark val="none"/>
        <c:tickLblPos val="nextTo"/>
        <c:crossAx val="104000512"/>
        <c:crosses val="autoZero"/>
        <c:crossBetween val="between"/>
      </c:valAx>
    </c:plotArea>
    <c:plotVisOnly val="1"/>
    <c:dispBlanksAs val="gap"/>
  </c:chart>
  <c:printSettings>
    <c:headerFooter/>
    <c:pageMargins b="0.75000000000000866" l="0.70000000000000062" r="0.70000000000000062" t="0.75000000000000866" header="0.30000000000000032" footer="0.30000000000000032"/>
    <c:pageSetup/>
  </c:printSettings>
</c:chartSpace>
</file>

<file path=xl/charts/chart164.xml><?xml version="1.0" encoding="utf-8"?>
<c:chartSpace xmlns:c="http://schemas.openxmlformats.org/drawingml/2006/chart" xmlns:a="http://schemas.openxmlformats.org/drawingml/2006/main" xmlns:r="http://schemas.openxmlformats.org/officeDocument/2006/relationships">
  <c:lang val="en-IE"/>
  <c:chart>
    <c:title>
      <c:tx>
        <c:strRef>
          <c:f>'Search by PCT'!$A$276</c:f>
          <c:strCache>
            <c:ptCount val="1"/>
            <c:pt idx="0">
              <c:v>Information or advice received on Dementia during your visit</c:v>
            </c:pt>
          </c:strCache>
        </c:strRef>
      </c:tx>
    </c:title>
    <c:plotArea>
      <c:layout/>
      <c:barChart>
        <c:barDir val="col"/>
        <c:grouping val="clustered"/>
        <c:ser>
          <c:idx val="0"/>
          <c:order val="0"/>
          <c:dLbls>
            <c:showVal val="1"/>
          </c:dLbls>
          <c:cat>
            <c:strRef>
              <c:f>'Search by PCT'!$A$278:$A$279</c:f>
              <c:strCache>
                <c:ptCount val="2"/>
                <c:pt idx="0">
                  <c:v>Yes</c:v>
                </c:pt>
                <c:pt idx="1">
                  <c:v>No</c:v>
                </c:pt>
              </c:strCache>
            </c:strRef>
          </c:cat>
          <c:val>
            <c:numRef>
              <c:f>'Search by PCT'!$D$278:$D$279</c:f>
              <c:numCache>
                <c:formatCode>0.0</c:formatCode>
                <c:ptCount val="2"/>
                <c:pt idx="0">
                  <c:v>0</c:v>
                </c:pt>
                <c:pt idx="1">
                  <c:v>0</c:v>
                </c:pt>
              </c:numCache>
            </c:numRef>
          </c:val>
        </c:ser>
        <c:dLbls/>
        <c:axId val="104100608"/>
        <c:axId val="104102144"/>
      </c:barChart>
      <c:catAx>
        <c:axId val="104100608"/>
        <c:scaling>
          <c:orientation val="minMax"/>
        </c:scaling>
        <c:axPos val="b"/>
        <c:numFmt formatCode="General" sourceLinked="1"/>
        <c:majorTickMark val="none"/>
        <c:tickLblPos val="nextTo"/>
        <c:crossAx val="104102144"/>
        <c:crosses val="autoZero"/>
        <c:auto val="1"/>
        <c:lblAlgn val="ctr"/>
        <c:lblOffset val="100"/>
      </c:catAx>
      <c:valAx>
        <c:axId val="104102144"/>
        <c:scaling>
          <c:orientation val="minMax"/>
          <c:max val="100"/>
        </c:scaling>
        <c:axPos val="l"/>
        <c:majorGridlines/>
        <c:numFmt formatCode="0.0" sourceLinked="1"/>
        <c:majorTickMark val="none"/>
        <c:tickLblPos val="nextTo"/>
        <c:crossAx val="104100608"/>
        <c:crosses val="autoZero"/>
        <c:crossBetween val="between"/>
      </c:valAx>
    </c:plotArea>
    <c:plotVisOnly val="1"/>
    <c:dispBlanksAs val="gap"/>
  </c:chart>
  <c:printSettings>
    <c:headerFooter/>
    <c:pageMargins b="0.75000000000000888" l="0.70000000000000062" r="0.70000000000000062" t="0.75000000000000888" header="0.30000000000000032" footer="0.30000000000000032"/>
    <c:pageSetup/>
  </c:printSettings>
</c:chartSpace>
</file>

<file path=xl/charts/chart165.xml><?xml version="1.0" encoding="utf-8"?>
<c:chartSpace xmlns:c="http://schemas.openxmlformats.org/drawingml/2006/chart" xmlns:a="http://schemas.openxmlformats.org/drawingml/2006/main" xmlns:r="http://schemas.openxmlformats.org/officeDocument/2006/relationships">
  <c:lang val="en-IE"/>
  <c:chart>
    <c:title>
      <c:tx>
        <c:strRef>
          <c:f>'Search by PCT'!$A$285</c:f>
          <c:strCache>
            <c:ptCount val="1"/>
            <c:pt idx="0">
              <c:v>Information or advice received on Falls prevention during your visit</c:v>
            </c:pt>
          </c:strCache>
        </c:strRef>
      </c:tx>
    </c:title>
    <c:plotArea>
      <c:layout/>
      <c:barChart>
        <c:barDir val="col"/>
        <c:grouping val="clustered"/>
        <c:ser>
          <c:idx val="0"/>
          <c:order val="0"/>
          <c:dLbls>
            <c:showVal val="1"/>
          </c:dLbls>
          <c:cat>
            <c:strRef>
              <c:f>'Search by PCT'!$A$287:$A$288</c:f>
              <c:strCache>
                <c:ptCount val="2"/>
                <c:pt idx="0">
                  <c:v>Yes</c:v>
                </c:pt>
                <c:pt idx="1">
                  <c:v>No</c:v>
                </c:pt>
              </c:strCache>
            </c:strRef>
          </c:cat>
          <c:val>
            <c:numRef>
              <c:f>'Search by PCT'!$D$287:$D$288</c:f>
              <c:numCache>
                <c:formatCode>0.0</c:formatCode>
                <c:ptCount val="2"/>
                <c:pt idx="0">
                  <c:v>0</c:v>
                </c:pt>
                <c:pt idx="1">
                  <c:v>0</c:v>
                </c:pt>
              </c:numCache>
            </c:numRef>
          </c:val>
        </c:ser>
        <c:dLbls/>
        <c:axId val="104122624"/>
        <c:axId val="104030208"/>
      </c:barChart>
      <c:catAx>
        <c:axId val="104122624"/>
        <c:scaling>
          <c:orientation val="minMax"/>
        </c:scaling>
        <c:axPos val="b"/>
        <c:numFmt formatCode="General" sourceLinked="1"/>
        <c:majorTickMark val="none"/>
        <c:tickLblPos val="nextTo"/>
        <c:crossAx val="104030208"/>
        <c:crosses val="autoZero"/>
        <c:auto val="1"/>
        <c:lblAlgn val="ctr"/>
        <c:lblOffset val="100"/>
      </c:catAx>
      <c:valAx>
        <c:axId val="104030208"/>
        <c:scaling>
          <c:orientation val="minMax"/>
        </c:scaling>
        <c:axPos val="l"/>
        <c:majorGridlines/>
        <c:numFmt formatCode="0.0" sourceLinked="1"/>
        <c:majorTickMark val="none"/>
        <c:tickLblPos val="nextTo"/>
        <c:crossAx val="104122624"/>
        <c:crosses val="autoZero"/>
        <c:crossBetween val="between"/>
      </c:valAx>
    </c:plotArea>
    <c:plotVisOnly val="1"/>
    <c:dispBlanksAs val="gap"/>
  </c:chart>
  <c:printSettings>
    <c:headerFooter/>
    <c:pageMargins b="0.7500000000000091" l="0.70000000000000062" r="0.70000000000000062" t="0.7500000000000091" header="0.30000000000000032" footer="0.30000000000000032"/>
    <c:pageSetup/>
  </c:printSettings>
</c:chartSpace>
</file>

<file path=xl/charts/chart166.xml><?xml version="1.0" encoding="utf-8"?>
<c:chartSpace xmlns:c="http://schemas.openxmlformats.org/drawingml/2006/chart" xmlns:a="http://schemas.openxmlformats.org/drawingml/2006/main" xmlns:r="http://schemas.openxmlformats.org/officeDocument/2006/relationships">
  <c:lang val="en-IE"/>
  <c:chart>
    <c:title>
      <c:tx>
        <c:strRef>
          <c:f>'Search by PCT'!$A$294</c:f>
          <c:strCache>
            <c:ptCount val="1"/>
            <c:pt idx="0">
              <c:v>Information or advice received on Drug use during your visit</c:v>
            </c:pt>
          </c:strCache>
        </c:strRef>
      </c:tx>
    </c:title>
    <c:plotArea>
      <c:layout/>
      <c:barChart>
        <c:barDir val="col"/>
        <c:grouping val="clustered"/>
        <c:ser>
          <c:idx val="0"/>
          <c:order val="0"/>
          <c:dLbls>
            <c:showVal val="1"/>
          </c:dLbls>
          <c:cat>
            <c:strRef>
              <c:f>'Search by PCT'!$A$296:$A$297</c:f>
              <c:strCache>
                <c:ptCount val="2"/>
                <c:pt idx="0">
                  <c:v>Yes</c:v>
                </c:pt>
                <c:pt idx="1">
                  <c:v>No</c:v>
                </c:pt>
              </c:strCache>
            </c:strRef>
          </c:cat>
          <c:val>
            <c:numRef>
              <c:f>'Search by PCT'!$D$296:$D$297</c:f>
              <c:numCache>
                <c:formatCode>0.0</c:formatCode>
                <c:ptCount val="2"/>
                <c:pt idx="0">
                  <c:v>0</c:v>
                </c:pt>
                <c:pt idx="1">
                  <c:v>0</c:v>
                </c:pt>
              </c:numCache>
            </c:numRef>
          </c:val>
        </c:ser>
        <c:dLbls/>
        <c:axId val="104045952"/>
        <c:axId val="104060032"/>
      </c:barChart>
      <c:catAx>
        <c:axId val="104045952"/>
        <c:scaling>
          <c:orientation val="minMax"/>
        </c:scaling>
        <c:axPos val="b"/>
        <c:numFmt formatCode="General" sourceLinked="1"/>
        <c:majorTickMark val="none"/>
        <c:tickLblPos val="nextTo"/>
        <c:crossAx val="104060032"/>
        <c:crosses val="autoZero"/>
        <c:auto val="1"/>
        <c:lblAlgn val="ctr"/>
        <c:lblOffset val="100"/>
      </c:catAx>
      <c:valAx>
        <c:axId val="104060032"/>
        <c:scaling>
          <c:orientation val="minMax"/>
          <c:max val="100"/>
        </c:scaling>
        <c:axPos val="l"/>
        <c:majorGridlines/>
        <c:numFmt formatCode="0.0" sourceLinked="1"/>
        <c:majorTickMark val="none"/>
        <c:tickLblPos val="nextTo"/>
        <c:crossAx val="104045952"/>
        <c:crosses val="autoZero"/>
        <c:crossBetween val="between"/>
      </c:valAx>
    </c:plotArea>
    <c:plotVisOnly val="1"/>
    <c:dispBlanksAs val="gap"/>
  </c:chart>
  <c:printSettings>
    <c:headerFooter/>
    <c:pageMargins b="0.75000000000000933" l="0.70000000000000062" r="0.70000000000000062" t="0.75000000000000933" header="0.30000000000000032" footer="0.30000000000000032"/>
    <c:pageSetup/>
  </c:printSettings>
</c:chartSpace>
</file>

<file path=xl/charts/chart167.xml><?xml version="1.0" encoding="utf-8"?>
<c:chartSpace xmlns:c="http://schemas.openxmlformats.org/drawingml/2006/chart" xmlns:a="http://schemas.openxmlformats.org/drawingml/2006/main" xmlns:r="http://schemas.openxmlformats.org/officeDocument/2006/relationships">
  <c:lang val="en-IE"/>
  <c:chart>
    <c:title>
      <c:tx>
        <c:strRef>
          <c:f>'Search by PCT'!$A$303</c:f>
          <c:strCache>
            <c:ptCount val="1"/>
            <c:pt idx="0">
              <c:v>Information or advice received on Other issues during your visit today</c:v>
            </c:pt>
          </c:strCache>
        </c:strRef>
      </c:tx>
    </c:title>
    <c:plotArea>
      <c:layout/>
      <c:barChart>
        <c:barDir val="col"/>
        <c:grouping val="clustered"/>
        <c:ser>
          <c:idx val="0"/>
          <c:order val="0"/>
          <c:dLbls>
            <c:showVal val="1"/>
          </c:dLbls>
          <c:cat>
            <c:strRef>
              <c:f>'Search by PCT'!$A$305:$A$306</c:f>
              <c:strCache>
                <c:ptCount val="2"/>
                <c:pt idx="0">
                  <c:v>Yes</c:v>
                </c:pt>
                <c:pt idx="1">
                  <c:v>No</c:v>
                </c:pt>
              </c:strCache>
            </c:strRef>
          </c:cat>
          <c:val>
            <c:numRef>
              <c:f>'Search by PCT'!$D$305:$D$306</c:f>
              <c:numCache>
                <c:formatCode>0.0</c:formatCode>
                <c:ptCount val="2"/>
                <c:pt idx="0">
                  <c:v>0</c:v>
                </c:pt>
                <c:pt idx="1">
                  <c:v>0</c:v>
                </c:pt>
              </c:numCache>
            </c:numRef>
          </c:val>
        </c:ser>
        <c:dLbls/>
        <c:axId val="104153856"/>
        <c:axId val="104155392"/>
      </c:barChart>
      <c:catAx>
        <c:axId val="104153856"/>
        <c:scaling>
          <c:orientation val="minMax"/>
        </c:scaling>
        <c:axPos val="b"/>
        <c:numFmt formatCode="General" sourceLinked="1"/>
        <c:majorTickMark val="none"/>
        <c:tickLblPos val="nextTo"/>
        <c:crossAx val="104155392"/>
        <c:crosses val="autoZero"/>
        <c:auto val="1"/>
        <c:lblAlgn val="ctr"/>
        <c:lblOffset val="100"/>
      </c:catAx>
      <c:valAx>
        <c:axId val="104155392"/>
        <c:scaling>
          <c:orientation val="minMax"/>
          <c:max val="100"/>
        </c:scaling>
        <c:axPos val="l"/>
        <c:majorGridlines/>
        <c:numFmt formatCode="0.0" sourceLinked="1"/>
        <c:majorTickMark val="none"/>
        <c:tickLblPos val="nextTo"/>
        <c:crossAx val="104153856"/>
        <c:crosses val="autoZero"/>
        <c:crossBetween val="between"/>
      </c:valAx>
    </c:plotArea>
    <c:plotVisOnly val="1"/>
    <c:dispBlanksAs val="gap"/>
  </c:chart>
  <c:printSettings>
    <c:headerFooter/>
    <c:pageMargins b="0.75000000000000955" l="0.70000000000000062" r="0.70000000000000062" t="0.75000000000000955" header="0.30000000000000032" footer="0.30000000000000032"/>
    <c:pageSetup/>
  </c:printSettings>
</c:chartSpace>
</file>

<file path=xl/charts/chart168.xml><?xml version="1.0" encoding="utf-8"?>
<c:chartSpace xmlns:c="http://schemas.openxmlformats.org/drawingml/2006/chart" xmlns:a="http://schemas.openxmlformats.org/drawingml/2006/main" xmlns:r="http://schemas.openxmlformats.org/officeDocument/2006/relationships">
  <c:lang val="en-IE"/>
  <c:chart>
    <c:title>
      <c:tx>
        <c:strRef>
          <c:f>'Search by PCT'!$A$312</c:f>
          <c:strCache>
            <c:ptCount val="1"/>
            <c:pt idx="0">
              <c:v>Patient highlighted other areas for information or advice</c:v>
            </c:pt>
          </c:strCache>
        </c:strRef>
      </c:tx>
    </c:title>
    <c:plotArea>
      <c:layout/>
      <c:barChart>
        <c:barDir val="col"/>
        <c:grouping val="clustered"/>
        <c:ser>
          <c:idx val="0"/>
          <c:order val="0"/>
          <c:dLbls>
            <c:showVal val="1"/>
          </c:dLbls>
          <c:cat>
            <c:strRef>
              <c:f>'Search by PCT'!$A$314:$A$315</c:f>
              <c:strCache>
                <c:ptCount val="2"/>
                <c:pt idx="0">
                  <c:v>Yes</c:v>
                </c:pt>
                <c:pt idx="1">
                  <c:v>No</c:v>
                </c:pt>
              </c:strCache>
            </c:strRef>
          </c:cat>
          <c:val>
            <c:numRef>
              <c:f>'Search by PCT'!$D$314:$D$315</c:f>
              <c:numCache>
                <c:formatCode>0.0</c:formatCode>
                <c:ptCount val="2"/>
                <c:pt idx="0">
                  <c:v>0</c:v>
                </c:pt>
                <c:pt idx="1">
                  <c:v>0</c:v>
                </c:pt>
              </c:numCache>
            </c:numRef>
          </c:val>
        </c:ser>
        <c:dLbls/>
        <c:axId val="104187776"/>
        <c:axId val="104189312"/>
      </c:barChart>
      <c:catAx>
        <c:axId val="104187776"/>
        <c:scaling>
          <c:orientation val="minMax"/>
        </c:scaling>
        <c:axPos val="b"/>
        <c:numFmt formatCode="General" sourceLinked="1"/>
        <c:majorTickMark val="none"/>
        <c:tickLblPos val="nextTo"/>
        <c:crossAx val="104189312"/>
        <c:crosses val="autoZero"/>
        <c:auto val="1"/>
        <c:lblAlgn val="ctr"/>
        <c:lblOffset val="100"/>
      </c:catAx>
      <c:valAx>
        <c:axId val="104189312"/>
        <c:scaling>
          <c:orientation val="minMax"/>
          <c:max val="100"/>
        </c:scaling>
        <c:axPos val="l"/>
        <c:majorGridlines/>
        <c:numFmt formatCode="0.0" sourceLinked="1"/>
        <c:majorTickMark val="none"/>
        <c:tickLblPos val="nextTo"/>
        <c:crossAx val="104187776"/>
        <c:crosses val="autoZero"/>
        <c:crossBetween val="between"/>
      </c:valAx>
    </c:plotArea>
    <c:plotVisOnly val="1"/>
    <c:dispBlanksAs val="gap"/>
  </c:chart>
  <c:printSettings>
    <c:headerFooter/>
    <c:pageMargins b="0.75000000000000977" l="0.70000000000000062" r="0.70000000000000062" t="0.75000000000000977" header="0.30000000000000032" footer="0.30000000000000032"/>
    <c:pageSetup/>
  </c:printSettings>
</c:chartSpace>
</file>

<file path=xl/charts/chart169.xml><?xml version="1.0" encoding="utf-8"?>
<c:chartSpace xmlns:c="http://schemas.openxmlformats.org/drawingml/2006/chart" xmlns:a="http://schemas.openxmlformats.org/drawingml/2006/main" xmlns:r="http://schemas.openxmlformats.org/officeDocument/2006/relationships">
  <c:lang val="en-IE"/>
  <c:chart>
    <c:title>
      <c:tx>
        <c:strRef>
          <c:f>'Search by PCT'!$A$320</c:f>
          <c:strCache>
            <c:ptCount val="1"/>
            <c:pt idx="0">
              <c:v>Overall patient rating of their appointment on day of survey</c:v>
            </c:pt>
          </c:strCache>
        </c:strRef>
      </c:tx>
    </c:title>
    <c:plotArea>
      <c:layout/>
      <c:barChart>
        <c:barDir val="col"/>
        <c:grouping val="clustered"/>
        <c:ser>
          <c:idx val="0"/>
          <c:order val="0"/>
          <c:dLbls>
            <c:showVal val="1"/>
          </c:dLbls>
          <c:cat>
            <c:strRef>
              <c:f>'Search by PCT'!$A$322:$A$326</c:f>
              <c:strCache>
                <c:ptCount val="5"/>
                <c:pt idx="0">
                  <c:v>Excellent</c:v>
                </c:pt>
                <c:pt idx="1">
                  <c:v>Very Good</c:v>
                </c:pt>
                <c:pt idx="2">
                  <c:v>Good</c:v>
                </c:pt>
                <c:pt idx="3">
                  <c:v>Poor </c:v>
                </c:pt>
                <c:pt idx="4">
                  <c:v>Very Poor</c:v>
                </c:pt>
              </c:strCache>
            </c:strRef>
          </c:cat>
          <c:val>
            <c:numRef>
              <c:f>'Search by PCT'!$D$322:$D$326</c:f>
              <c:numCache>
                <c:formatCode>0.0</c:formatCode>
                <c:ptCount val="5"/>
                <c:pt idx="0">
                  <c:v>0</c:v>
                </c:pt>
                <c:pt idx="1">
                  <c:v>0</c:v>
                </c:pt>
                <c:pt idx="2">
                  <c:v>0</c:v>
                </c:pt>
                <c:pt idx="3">
                  <c:v>0</c:v>
                </c:pt>
                <c:pt idx="4">
                  <c:v>0</c:v>
                </c:pt>
              </c:numCache>
            </c:numRef>
          </c:val>
        </c:ser>
        <c:dLbls/>
        <c:axId val="102640256"/>
        <c:axId val="102650240"/>
      </c:barChart>
      <c:catAx>
        <c:axId val="102640256"/>
        <c:scaling>
          <c:orientation val="minMax"/>
        </c:scaling>
        <c:axPos val="b"/>
        <c:numFmt formatCode="General" sourceLinked="1"/>
        <c:majorTickMark val="none"/>
        <c:tickLblPos val="nextTo"/>
        <c:crossAx val="102650240"/>
        <c:crosses val="autoZero"/>
        <c:auto val="1"/>
        <c:lblAlgn val="ctr"/>
        <c:lblOffset val="100"/>
      </c:catAx>
      <c:valAx>
        <c:axId val="102650240"/>
        <c:scaling>
          <c:orientation val="minMax"/>
          <c:max val="100"/>
        </c:scaling>
        <c:axPos val="l"/>
        <c:majorGridlines/>
        <c:numFmt formatCode="0.0" sourceLinked="1"/>
        <c:majorTickMark val="none"/>
        <c:tickLblPos val="nextTo"/>
        <c:crossAx val="102640256"/>
        <c:crosses val="autoZero"/>
        <c:crossBetween val="between"/>
      </c:valAx>
    </c:plotArea>
    <c:plotVisOnly val="1"/>
    <c:dispBlanksAs val="gap"/>
  </c:chart>
  <c:printSettings>
    <c:headerFooter/>
    <c:pageMargins b="0.75000000000000999" l="0.70000000000000062" r="0.70000000000000062" t="0.75000000000000999"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en-IE"/>
  <c:chart>
    <c:title>
      <c:tx>
        <c:rich>
          <a:bodyPr/>
          <a:lstStyle/>
          <a:p>
            <a:pPr>
              <a:defRPr/>
            </a:pPr>
            <a:r>
              <a:rPr lang="en-IE"/>
              <a:t>It</a:t>
            </a:r>
            <a:r>
              <a:rPr lang="en-IE" baseline="0"/>
              <a:t> was</a:t>
            </a:r>
            <a:r>
              <a:rPr lang="en-IE"/>
              <a:t> explained that, if relevant to overall care, patients</a:t>
            </a:r>
            <a:r>
              <a:rPr lang="en-IE" baseline="0"/>
              <a:t> </a:t>
            </a:r>
            <a:r>
              <a:rPr lang="en-IE"/>
              <a:t>information</a:t>
            </a:r>
            <a:r>
              <a:rPr lang="en-IE" baseline="0"/>
              <a:t> may be shared</a:t>
            </a:r>
            <a:r>
              <a:rPr lang="en-IE"/>
              <a:t> other PCT members</a:t>
            </a:r>
          </a:p>
        </c:rich>
      </c:tx>
    </c:title>
    <c:plotArea>
      <c:layout/>
      <c:barChart>
        <c:barDir val="col"/>
        <c:grouping val="clustered"/>
        <c:ser>
          <c:idx val="0"/>
          <c:order val="0"/>
          <c:dLbls>
            <c:showVal val="1"/>
          </c:dLbls>
          <c:cat>
            <c:strRef>
              <c:f>OverallResults!$A$188:$A$190</c:f>
              <c:strCache>
                <c:ptCount val="3"/>
                <c:pt idx="0">
                  <c:v>Yes</c:v>
                </c:pt>
                <c:pt idx="1">
                  <c:v>No</c:v>
                </c:pt>
                <c:pt idx="2">
                  <c:v>Not sure</c:v>
                </c:pt>
              </c:strCache>
            </c:strRef>
          </c:cat>
          <c:val>
            <c:numRef>
              <c:f>OverallResults!$D$188:$D$190</c:f>
              <c:numCache>
                <c:formatCode>0.0</c:formatCode>
                <c:ptCount val="3"/>
                <c:pt idx="0">
                  <c:v>0</c:v>
                </c:pt>
                <c:pt idx="1">
                  <c:v>0</c:v>
                </c:pt>
                <c:pt idx="2">
                  <c:v>0</c:v>
                </c:pt>
              </c:numCache>
            </c:numRef>
          </c:val>
        </c:ser>
        <c:dLbls/>
        <c:axId val="80563584"/>
        <c:axId val="80577664"/>
      </c:barChart>
      <c:catAx>
        <c:axId val="80563584"/>
        <c:scaling>
          <c:orientation val="minMax"/>
        </c:scaling>
        <c:axPos val="b"/>
        <c:numFmt formatCode="General" sourceLinked="1"/>
        <c:majorTickMark val="none"/>
        <c:tickLblPos val="nextTo"/>
        <c:crossAx val="80577664"/>
        <c:crosses val="autoZero"/>
        <c:auto val="1"/>
        <c:lblAlgn val="ctr"/>
        <c:lblOffset val="100"/>
      </c:catAx>
      <c:valAx>
        <c:axId val="80577664"/>
        <c:scaling>
          <c:orientation val="minMax"/>
          <c:max val="100"/>
        </c:scaling>
        <c:axPos val="l"/>
        <c:majorGridlines/>
        <c:numFmt formatCode="0.0" sourceLinked="1"/>
        <c:majorTickMark val="none"/>
        <c:tickLblPos val="nextTo"/>
        <c:crossAx val="80563584"/>
        <c:crosses val="autoZero"/>
        <c:crossBetween val="between"/>
      </c:valAx>
    </c:plotArea>
    <c:plotVisOnly val="1"/>
    <c:dispBlanksAs val="gap"/>
  </c:chart>
  <c:printSettings>
    <c:headerFooter/>
    <c:pageMargins b="0.75000000000000688" l="0.70000000000000062" r="0.70000000000000062" t="0.75000000000000688" header="0.30000000000000032" footer="0.30000000000000032"/>
    <c:pageSetup/>
  </c:printSettings>
</c:chartSpace>
</file>

<file path=xl/charts/chart170.xml><?xml version="1.0" encoding="utf-8"?>
<c:chartSpace xmlns:c="http://schemas.openxmlformats.org/drawingml/2006/chart" xmlns:a="http://schemas.openxmlformats.org/drawingml/2006/main" xmlns:r="http://schemas.openxmlformats.org/officeDocument/2006/relationships">
  <c:lang val="en-IE"/>
  <c:chart>
    <c:title>
      <c:tx>
        <c:strRef>
          <c:f>'Search by PCT'!$A$331</c:f>
          <c:strCache>
            <c:ptCount val="1"/>
            <c:pt idx="0">
              <c:v>Patient awareness of The National Healthcare Charter, ‘You and Your Health Service’</c:v>
            </c:pt>
          </c:strCache>
        </c:strRef>
      </c:tx>
    </c:title>
    <c:plotArea>
      <c:layout/>
      <c:barChart>
        <c:barDir val="col"/>
        <c:grouping val="clustered"/>
        <c:ser>
          <c:idx val="0"/>
          <c:order val="0"/>
          <c:dLbls>
            <c:showVal val="1"/>
          </c:dLbls>
          <c:cat>
            <c:strRef>
              <c:f>'Search by PCT'!$A$333:$A$334</c:f>
              <c:strCache>
                <c:ptCount val="2"/>
                <c:pt idx="0">
                  <c:v>Yes</c:v>
                </c:pt>
                <c:pt idx="1">
                  <c:v>No</c:v>
                </c:pt>
              </c:strCache>
            </c:strRef>
          </c:cat>
          <c:val>
            <c:numRef>
              <c:f>'Search by PCT'!$D$333:$D$334</c:f>
              <c:numCache>
                <c:formatCode>0.0</c:formatCode>
                <c:ptCount val="2"/>
                <c:pt idx="0">
                  <c:v>0</c:v>
                </c:pt>
                <c:pt idx="1">
                  <c:v>0</c:v>
                </c:pt>
              </c:numCache>
            </c:numRef>
          </c:val>
        </c:ser>
        <c:dLbls/>
        <c:axId val="102682624"/>
        <c:axId val="102684160"/>
      </c:barChart>
      <c:catAx>
        <c:axId val="102682624"/>
        <c:scaling>
          <c:orientation val="minMax"/>
        </c:scaling>
        <c:axPos val="b"/>
        <c:numFmt formatCode="General" sourceLinked="1"/>
        <c:majorTickMark val="none"/>
        <c:tickLblPos val="nextTo"/>
        <c:crossAx val="102684160"/>
        <c:crosses val="autoZero"/>
        <c:auto val="1"/>
        <c:lblAlgn val="ctr"/>
        <c:lblOffset val="100"/>
      </c:catAx>
      <c:valAx>
        <c:axId val="102684160"/>
        <c:scaling>
          <c:orientation val="minMax"/>
          <c:max val="100"/>
        </c:scaling>
        <c:axPos val="l"/>
        <c:majorGridlines/>
        <c:numFmt formatCode="0.0" sourceLinked="1"/>
        <c:majorTickMark val="none"/>
        <c:tickLblPos val="nextTo"/>
        <c:crossAx val="102682624"/>
        <c:crosses val="autoZero"/>
        <c:crossBetween val="between"/>
      </c:valAx>
    </c:plotArea>
    <c:plotVisOnly val="1"/>
    <c:dispBlanksAs val="gap"/>
  </c:chart>
  <c:printSettings>
    <c:headerFooter/>
    <c:pageMargins b="0.75000000000001021" l="0.70000000000000062" r="0.70000000000000062" t="0.75000000000001021" header="0.30000000000000032" footer="0.30000000000000032"/>
    <c:pageSetup/>
  </c:printSettings>
</c:chartSpace>
</file>

<file path=xl/charts/chart171.xml><?xml version="1.0" encoding="utf-8"?>
<c:chartSpace xmlns:c="http://schemas.openxmlformats.org/drawingml/2006/chart" xmlns:a="http://schemas.openxmlformats.org/drawingml/2006/main" xmlns:r="http://schemas.openxmlformats.org/officeDocument/2006/relationships">
  <c:lang val="en-IE"/>
  <c:chart>
    <c:title>
      <c:tx>
        <c:strRef>
          <c:f>'Search by PCT'!$A$339</c:f>
          <c:strCache>
            <c:ptCount val="1"/>
            <c:pt idx="0">
              <c:v>Patient awareness of ‘Your Service Your Say’ (HSE Complaints Process)</c:v>
            </c:pt>
          </c:strCache>
        </c:strRef>
      </c:tx>
    </c:title>
    <c:plotArea>
      <c:layout/>
      <c:barChart>
        <c:barDir val="col"/>
        <c:grouping val="clustered"/>
        <c:ser>
          <c:idx val="0"/>
          <c:order val="0"/>
          <c:dLbls>
            <c:showVal val="1"/>
          </c:dLbls>
          <c:cat>
            <c:strRef>
              <c:f>'Search by PCT'!$A$341:$A$342</c:f>
              <c:strCache>
                <c:ptCount val="2"/>
                <c:pt idx="0">
                  <c:v>Yes</c:v>
                </c:pt>
                <c:pt idx="1">
                  <c:v>No</c:v>
                </c:pt>
              </c:strCache>
            </c:strRef>
          </c:cat>
          <c:val>
            <c:numRef>
              <c:f>'Search by PCT'!$D$341:$D$342</c:f>
              <c:numCache>
                <c:formatCode>0.0</c:formatCode>
                <c:ptCount val="2"/>
                <c:pt idx="0">
                  <c:v>0</c:v>
                </c:pt>
                <c:pt idx="1">
                  <c:v>0</c:v>
                </c:pt>
              </c:numCache>
            </c:numRef>
          </c:val>
        </c:ser>
        <c:dLbls/>
        <c:axId val="104232064"/>
        <c:axId val="104233600"/>
      </c:barChart>
      <c:catAx>
        <c:axId val="104232064"/>
        <c:scaling>
          <c:orientation val="minMax"/>
        </c:scaling>
        <c:axPos val="b"/>
        <c:numFmt formatCode="General" sourceLinked="1"/>
        <c:majorTickMark val="none"/>
        <c:tickLblPos val="nextTo"/>
        <c:crossAx val="104233600"/>
        <c:crosses val="autoZero"/>
        <c:auto val="1"/>
        <c:lblAlgn val="ctr"/>
        <c:lblOffset val="100"/>
      </c:catAx>
      <c:valAx>
        <c:axId val="104233600"/>
        <c:scaling>
          <c:orientation val="minMax"/>
          <c:max val="100"/>
        </c:scaling>
        <c:axPos val="l"/>
        <c:majorGridlines/>
        <c:numFmt formatCode="0.0" sourceLinked="1"/>
        <c:majorTickMark val="none"/>
        <c:tickLblPos val="nextTo"/>
        <c:crossAx val="104232064"/>
        <c:crosses val="autoZero"/>
        <c:crossBetween val="between"/>
      </c:valAx>
    </c:plotArea>
    <c:plotVisOnly val="1"/>
    <c:dispBlanksAs val="gap"/>
  </c:chart>
  <c:printSettings>
    <c:headerFooter/>
    <c:pageMargins b="0.75000000000001044" l="0.70000000000000062" r="0.70000000000000062" t="0.75000000000001044"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en-IE"/>
  <c:chart>
    <c:title>
      <c:tx>
        <c:rich>
          <a:bodyPr/>
          <a:lstStyle/>
          <a:p>
            <a:pPr>
              <a:defRPr/>
            </a:pPr>
            <a:r>
              <a:rPr lang="en-IE"/>
              <a:t>Advice</a:t>
            </a:r>
            <a:r>
              <a:rPr lang="en-IE" baseline="0"/>
              <a:t> </a:t>
            </a:r>
            <a:r>
              <a:rPr lang="en-IE"/>
              <a:t>and information provided</a:t>
            </a:r>
            <a:r>
              <a:rPr lang="en-IE" baseline="0"/>
              <a:t> </a:t>
            </a:r>
            <a:r>
              <a:rPr lang="en-IE"/>
              <a:t>during your
appointment was easy to understand</a:t>
            </a:r>
          </a:p>
        </c:rich>
      </c:tx>
    </c:title>
    <c:plotArea>
      <c:layout/>
      <c:barChart>
        <c:barDir val="col"/>
        <c:grouping val="clustered"/>
        <c:ser>
          <c:idx val="0"/>
          <c:order val="0"/>
          <c:dLbls>
            <c:showVal val="1"/>
          </c:dLbls>
          <c:cat>
            <c:strRef>
              <c:f>OverallResults!$A$197:$A$198</c:f>
              <c:strCache>
                <c:ptCount val="2"/>
                <c:pt idx="0">
                  <c:v>Yes</c:v>
                </c:pt>
                <c:pt idx="1">
                  <c:v>No</c:v>
                </c:pt>
              </c:strCache>
            </c:strRef>
          </c:cat>
          <c:val>
            <c:numRef>
              <c:f>OverallResults!$D$197:$D$198</c:f>
              <c:numCache>
                <c:formatCode>0.0</c:formatCode>
                <c:ptCount val="2"/>
                <c:pt idx="0">
                  <c:v>0</c:v>
                </c:pt>
                <c:pt idx="1">
                  <c:v>0</c:v>
                </c:pt>
              </c:numCache>
            </c:numRef>
          </c:val>
        </c:ser>
        <c:dLbls/>
        <c:axId val="80683776"/>
        <c:axId val="80685312"/>
      </c:barChart>
      <c:catAx>
        <c:axId val="80683776"/>
        <c:scaling>
          <c:orientation val="minMax"/>
        </c:scaling>
        <c:axPos val="b"/>
        <c:numFmt formatCode="General" sourceLinked="1"/>
        <c:majorTickMark val="none"/>
        <c:tickLblPos val="nextTo"/>
        <c:crossAx val="80685312"/>
        <c:crosses val="autoZero"/>
        <c:auto val="1"/>
        <c:lblAlgn val="ctr"/>
        <c:lblOffset val="100"/>
      </c:catAx>
      <c:valAx>
        <c:axId val="80685312"/>
        <c:scaling>
          <c:orientation val="minMax"/>
          <c:max val="100"/>
        </c:scaling>
        <c:axPos val="l"/>
        <c:majorGridlines/>
        <c:numFmt formatCode="0.0" sourceLinked="1"/>
        <c:majorTickMark val="none"/>
        <c:tickLblPos val="nextTo"/>
        <c:crossAx val="80683776"/>
        <c:crosses val="autoZero"/>
        <c:crossBetween val="between"/>
      </c:valAx>
    </c:plotArea>
    <c:plotVisOnly val="1"/>
    <c:dispBlanksAs val="gap"/>
  </c:chart>
  <c:printSettings>
    <c:headerFooter/>
    <c:pageMargins b="0.75000000000000711" l="0.70000000000000062" r="0.70000000000000062" t="0.75000000000000711"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lang val="en-IE"/>
  <c:chart>
    <c:title>
      <c:tx>
        <c:rich>
          <a:bodyPr/>
          <a:lstStyle/>
          <a:p>
            <a:pPr>
              <a:defRPr/>
            </a:pPr>
            <a:r>
              <a:rPr lang="en-IE"/>
              <a:t>Enough time provided during your appointment to ask questions and discuss your health
problems and concerns</a:t>
            </a:r>
          </a:p>
        </c:rich>
      </c:tx>
    </c:title>
    <c:plotArea>
      <c:layout/>
      <c:barChart>
        <c:barDir val="col"/>
        <c:grouping val="clustered"/>
        <c:ser>
          <c:idx val="0"/>
          <c:order val="0"/>
          <c:dLbls>
            <c:showVal val="1"/>
          </c:dLbls>
          <c:cat>
            <c:strRef>
              <c:f>OverallResults!$A$206:$A$207</c:f>
              <c:strCache>
                <c:ptCount val="2"/>
                <c:pt idx="0">
                  <c:v>Yes</c:v>
                </c:pt>
                <c:pt idx="1">
                  <c:v>No</c:v>
                </c:pt>
              </c:strCache>
            </c:strRef>
          </c:cat>
          <c:val>
            <c:numRef>
              <c:f>OverallResults!$D$206:$D$207</c:f>
              <c:numCache>
                <c:formatCode>0.0</c:formatCode>
                <c:ptCount val="2"/>
                <c:pt idx="0">
                  <c:v>0</c:v>
                </c:pt>
                <c:pt idx="1">
                  <c:v>0</c:v>
                </c:pt>
              </c:numCache>
            </c:numRef>
          </c:val>
        </c:ser>
        <c:dLbls/>
        <c:axId val="80709504"/>
        <c:axId val="80711040"/>
      </c:barChart>
      <c:catAx>
        <c:axId val="80709504"/>
        <c:scaling>
          <c:orientation val="minMax"/>
        </c:scaling>
        <c:axPos val="b"/>
        <c:numFmt formatCode="General" sourceLinked="1"/>
        <c:majorTickMark val="none"/>
        <c:tickLblPos val="nextTo"/>
        <c:crossAx val="80711040"/>
        <c:crosses val="autoZero"/>
        <c:auto val="1"/>
        <c:lblAlgn val="ctr"/>
        <c:lblOffset val="100"/>
      </c:catAx>
      <c:valAx>
        <c:axId val="80711040"/>
        <c:scaling>
          <c:orientation val="minMax"/>
          <c:max val="100"/>
        </c:scaling>
        <c:axPos val="l"/>
        <c:majorGridlines/>
        <c:numFmt formatCode="0.0" sourceLinked="1"/>
        <c:majorTickMark val="none"/>
        <c:tickLblPos val="nextTo"/>
        <c:crossAx val="80709504"/>
        <c:crosses val="autoZero"/>
        <c:crossBetween val="between"/>
      </c:valAx>
    </c:plotArea>
    <c:plotVisOnly val="1"/>
    <c:dispBlanksAs val="gap"/>
  </c:chart>
  <c:printSettings>
    <c:headerFooter/>
    <c:pageMargins b="0.75000000000000733" l="0.70000000000000062" r="0.70000000000000062" t="0.7500000000000073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IE"/>
  <c:chart>
    <c:title>
      <c:tx>
        <c:rich>
          <a:bodyPr/>
          <a:lstStyle/>
          <a:p>
            <a:pPr>
              <a:defRPr/>
            </a:pPr>
            <a:r>
              <a:rPr lang="en-IE"/>
              <a:t>Age category</a:t>
            </a:r>
          </a:p>
        </c:rich>
      </c:tx>
    </c:title>
    <c:plotArea>
      <c:layout/>
      <c:barChart>
        <c:barDir val="col"/>
        <c:grouping val="clustered"/>
        <c:ser>
          <c:idx val="0"/>
          <c:order val="0"/>
          <c:dLbls>
            <c:showVal val="1"/>
          </c:dLbls>
          <c:cat>
            <c:strRef>
              <c:f>OverallResults!$A$20:$A$25</c:f>
              <c:strCache>
                <c:ptCount val="6"/>
                <c:pt idx="0">
                  <c:v>Under 18 years of age</c:v>
                </c:pt>
                <c:pt idx="1">
                  <c:v>18-24yrs</c:v>
                </c:pt>
                <c:pt idx="2">
                  <c:v>25-44yrs</c:v>
                </c:pt>
                <c:pt idx="3">
                  <c:v>45-64yrs</c:v>
                </c:pt>
                <c:pt idx="4">
                  <c:v>65-74yrs</c:v>
                </c:pt>
                <c:pt idx="5">
                  <c:v>75 years +</c:v>
                </c:pt>
              </c:strCache>
            </c:strRef>
          </c:cat>
          <c:val>
            <c:numRef>
              <c:f>OverallResults!$D$20:$D$25</c:f>
              <c:numCache>
                <c:formatCode>0.0</c:formatCode>
                <c:ptCount val="6"/>
                <c:pt idx="0">
                  <c:v>0</c:v>
                </c:pt>
                <c:pt idx="1">
                  <c:v>0</c:v>
                </c:pt>
                <c:pt idx="2">
                  <c:v>0</c:v>
                </c:pt>
                <c:pt idx="3">
                  <c:v>0</c:v>
                </c:pt>
                <c:pt idx="4">
                  <c:v>0</c:v>
                </c:pt>
                <c:pt idx="5">
                  <c:v>0</c:v>
                </c:pt>
              </c:numCache>
            </c:numRef>
          </c:val>
        </c:ser>
        <c:dLbls/>
        <c:axId val="79570816"/>
        <c:axId val="79572352"/>
      </c:barChart>
      <c:catAx>
        <c:axId val="79570816"/>
        <c:scaling>
          <c:orientation val="minMax"/>
        </c:scaling>
        <c:axPos val="b"/>
        <c:majorTickMark val="none"/>
        <c:tickLblPos val="nextTo"/>
        <c:crossAx val="79572352"/>
        <c:crosses val="autoZero"/>
        <c:auto val="1"/>
        <c:lblAlgn val="ctr"/>
        <c:lblOffset val="100"/>
      </c:catAx>
      <c:valAx>
        <c:axId val="79572352"/>
        <c:scaling>
          <c:orientation val="minMax"/>
          <c:max val="100"/>
        </c:scaling>
        <c:axPos val="l"/>
        <c:majorGridlines/>
        <c:numFmt formatCode="0.0" sourceLinked="1"/>
        <c:majorTickMark val="none"/>
        <c:tickLblPos val="nextTo"/>
        <c:crossAx val="79570816"/>
        <c:crosses val="autoZero"/>
        <c:crossBetween val="between"/>
      </c:valAx>
    </c:plotArea>
    <c:plotVisOnly val="1"/>
    <c:dispBlanksAs val="gap"/>
  </c:chart>
  <c:printSettings>
    <c:headerFooter/>
    <c:pageMargins b="0.75000000000000355" l="0.70000000000000062" r="0.70000000000000062" t="0.75000000000000355"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lang val="en-IE"/>
  <c:chart>
    <c:title>
      <c:tx>
        <c:strRef>
          <c:f>OverallResults!$A$212</c:f>
          <c:strCache>
            <c:ptCount val="1"/>
            <c:pt idx="0">
              <c:v>Were you involved in making decisions about your care and treatment?</c:v>
            </c:pt>
          </c:strCache>
        </c:strRef>
      </c:tx>
    </c:title>
    <c:plotArea>
      <c:layout/>
      <c:barChart>
        <c:barDir val="col"/>
        <c:grouping val="clustered"/>
        <c:ser>
          <c:idx val="0"/>
          <c:order val="0"/>
          <c:dLbls>
            <c:showVal val="1"/>
          </c:dLbls>
          <c:cat>
            <c:strRef>
              <c:f>OverallResults!$A$214:$A$215</c:f>
              <c:strCache>
                <c:ptCount val="2"/>
                <c:pt idx="0">
                  <c:v>Yes</c:v>
                </c:pt>
                <c:pt idx="1">
                  <c:v>No</c:v>
                </c:pt>
              </c:strCache>
            </c:strRef>
          </c:cat>
          <c:val>
            <c:numRef>
              <c:f>OverallResults!$D$214:$D$215</c:f>
              <c:numCache>
                <c:formatCode>0.0</c:formatCode>
                <c:ptCount val="2"/>
                <c:pt idx="0">
                  <c:v>0</c:v>
                </c:pt>
                <c:pt idx="1">
                  <c:v>0</c:v>
                </c:pt>
              </c:numCache>
            </c:numRef>
          </c:val>
        </c:ser>
        <c:dLbls/>
        <c:axId val="80621952"/>
        <c:axId val="80623488"/>
      </c:barChart>
      <c:catAx>
        <c:axId val="80621952"/>
        <c:scaling>
          <c:orientation val="minMax"/>
        </c:scaling>
        <c:axPos val="b"/>
        <c:numFmt formatCode="General" sourceLinked="1"/>
        <c:majorTickMark val="none"/>
        <c:tickLblPos val="nextTo"/>
        <c:txPr>
          <a:bodyPr/>
          <a:lstStyle/>
          <a:p>
            <a:pPr>
              <a:defRPr sz="800"/>
            </a:pPr>
            <a:endParaRPr lang="en-US"/>
          </a:p>
        </c:txPr>
        <c:crossAx val="80623488"/>
        <c:crosses val="autoZero"/>
        <c:auto val="1"/>
        <c:lblAlgn val="ctr"/>
        <c:lblOffset val="100"/>
      </c:catAx>
      <c:valAx>
        <c:axId val="80623488"/>
        <c:scaling>
          <c:orientation val="minMax"/>
          <c:max val="100"/>
        </c:scaling>
        <c:axPos val="l"/>
        <c:majorGridlines/>
        <c:numFmt formatCode="0.0" sourceLinked="1"/>
        <c:majorTickMark val="none"/>
        <c:tickLblPos val="nextTo"/>
        <c:crossAx val="80621952"/>
        <c:crosses val="autoZero"/>
        <c:crossBetween val="between"/>
      </c:valAx>
    </c:plotArea>
    <c:plotVisOnly val="1"/>
    <c:dispBlanksAs val="gap"/>
  </c:chart>
  <c:printSettings>
    <c:headerFooter/>
    <c:pageMargins b="0.75000000000000755" l="0.70000000000000062" r="0.70000000000000062" t="0.75000000000000755"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lang val="en-IE"/>
  <c:chart>
    <c:title>
      <c:tx>
        <c:rich>
          <a:bodyPr/>
          <a:lstStyle/>
          <a:p>
            <a:pPr>
              <a:defRPr/>
            </a:pPr>
            <a:r>
              <a:rPr lang="en-IE"/>
              <a:t>Information or advice received on Quitting smoking during your visit</a:t>
            </a:r>
          </a:p>
        </c:rich>
      </c:tx>
    </c:title>
    <c:plotArea>
      <c:layout/>
      <c:barChart>
        <c:barDir val="col"/>
        <c:grouping val="clustered"/>
        <c:ser>
          <c:idx val="0"/>
          <c:order val="0"/>
          <c:dLbls>
            <c:showVal val="1"/>
          </c:dLbls>
          <c:cat>
            <c:strRef>
              <c:f>OverallResults!$A$222:$A$223</c:f>
              <c:strCache>
                <c:ptCount val="2"/>
                <c:pt idx="0">
                  <c:v>Yes</c:v>
                </c:pt>
                <c:pt idx="1">
                  <c:v>No</c:v>
                </c:pt>
              </c:strCache>
            </c:strRef>
          </c:cat>
          <c:val>
            <c:numRef>
              <c:f>OverallResults!$D$222:$D$223</c:f>
              <c:numCache>
                <c:formatCode>0.0</c:formatCode>
                <c:ptCount val="2"/>
                <c:pt idx="0">
                  <c:v>0</c:v>
                </c:pt>
                <c:pt idx="1">
                  <c:v>0</c:v>
                </c:pt>
              </c:numCache>
            </c:numRef>
          </c:val>
        </c:ser>
        <c:dLbls/>
        <c:axId val="80646912"/>
        <c:axId val="80648448"/>
      </c:barChart>
      <c:catAx>
        <c:axId val="80646912"/>
        <c:scaling>
          <c:orientation val="minMax"/>
        </c:scaling>
        <c:axPos val="b"/>
        <c:numFmt formatCode="General" sourceLinked="1"/>
        <c:majorTickMark val="none"/>
        <c:tickLblPos val="nextTo"/>
        <c:crossAx val="80648448"/>
        <c:crosses val="autoZero"/>
        <c:auto val="1"/>
        <c:lblAlgn val="ctr"/>
        <c:lblOffset val="100"/>
      </c:catAx>
      <c:valAx>
        <c:axId val="80648448"/>
        <c:scaling>
          <c:orientation val="minMax"/>
          <c:max val="100"/>
        </c:scaling>
        <c:axPos val="l"/>
        <c:majorGridlines/>
        <c:numFmt formatCode="0.0" sourceLinked="1"/>
        <c:majorTickMark val="none"/>
        <c:tickLblPos val="nextTo"/>
        <c:crossAx val="80646912"/>
        <c:crosses val="autoZero"/>
        <c:crossBetween val="between"/>
      </c:valAx>
    </c:plotArea>
    <c:plotVisOnly val="1"/>
    <c:dispBlanksAs val="gap"/>
  </c:chart>
  <c:printSettings>
    <c:headerFooter/>
    <c:pageMargins b="0.75000000000000755" l="0.70000000000000062" r="0.70000000000000062" t="0.75000000000000755"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lang val="en-IE"/>
  <c:chart>
    <c:title>
      <c:tx>
        <c:rich>
          <a:bodyPr/>
          <a:lstStyle/>
          <a:p>
            <a:pPr>
              <a:defRPr/>
            </a:pPr>
            <a:r>
              <a:rPr lang="en-IE" sz="1800" b="1" i="0" u="none" strike="noStrike" baseline="0"/>
              <a:t>Information or advice received </a:t>
            </a:r>
            <a:r>
              <a:rPr lang="en-IE"/>
              <a:t>on Losing weight during your visit</a:t>
            </a:r>
          </a:p>
          <a:p>
            <a:pPr>
              <a:defRPr/>
            </a:pPr>
            <a:endParaRPr lang="en-IE"/>
          </a:p>
        </c:rich>
      </c:tx>
    </c:title>
    <c:plotArea>
      <c:layout/>
      <c:barChart>
        <c:barDir val="col"/>
        <c:grouping val="clustered"/>
        <c:ser>
          <c:idx val="0"/>
          <c:order val="0"/>
          <c:dLbls>
            <c:showVal val="1"/>
          </c:dLbls>
          <c:cat>
            <c:strRef>
              <c:f>OverallResults!$A$231:$A$232</c:f>
              <c:strCache>
                <c:ptCount val="2"/>
                <c:pt idx="0">
                  <c:v>Yes</c:v>
                </c:pt>
                <c:pt idx="1">
                  <c:v>No</c:v>
                </c:pt>
              </c:strCache>
            </c:strRef>
          </c:cat>
          <c:val>
            <c:numRef>
              <c:f>OverallResults!$D$231:$D$232</c:f>
              <c:numCache>
                <c:formatCode>0.0</c:formatCode>
                <c:ptCount val="2"/>
                <c:pt idx="0">
                  <c:v>0</c:v>
                </c:pt>
                <c:pt idx="1">
                  <c:v>0</c:v>
                </c:pt>
              </c:numCache>
            </c:numRef>
          </c:val>
        </c:ser>
        <c:dLbls/>
        <c:axId val="80754560"/>
        <c:axId val="80756096"/>
      </c:barChart>
      <c:catAx>
        <c:axId val="80754560"/>
        <c:scaling>
          <c:orientation val="minMax"/>
        </c:scaling>
        <c:axPos val="b"/>
        <c:numFmt formatCode="General" sourceLinked="1"/>
        <c:majorTickMark val="none"/>
        <c:tickLblPos val="nextTo"/>
        <c:crossAx val="80756096"/>
        <c:crosses val="autoZero"/>
        <c:auto val="1"/>
        <c:lblAlgn val="ctr"/>
        <c:lblOffset val="100"/>
      </c:catAx>
      <c:valAx>
        <c:axId val="80756096"/>
        <c:scaling>
          <c:orientation val="minMax"/>
          <c:max val="100"/>
        </c:scaling>
        <c:axPos val="l"/>
        <c:majorGridlines/>
        <c:numFmt formatCode="0.0" sourceLinked="1"/>
        <c:majorTickMark val="none"/>
        <c:tickLblPos val="nextTo"/>
        <c:crossAx val="80754560"/>
        <c:crosses val="autoZero"/>
        <c:crossBetween val="between"/>
      </c:valAx>
    </c:plotArea>
    <c:plotVisOnly val="1"/>
    <c:dispBlanksAs val="gap"/>
  </c:chart>
  <c:printSettings>
    <c:headerFooter/>
    <c:pageMargins b="0.75000000000000711" l="0.70000000000000062" r="0.70000000000000062" t="0.75000000000000711"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lang val="en-IE"/>
  <c:chart>
    <c:title>
      <c:tx>
        <c:rich>
          <a:bodyPr/>
          <a:lstStyle/>
          <a:p>
            <a:pPr>
              <a:defRPr/>
            </a:pPr>
            <a:r>
              <a:rPr lang="en-IE" sz="1800" b="1" i="0" u="none" strike="noStrike" baseline="0"/>
              <a:t>Information or advice received </a:t>
            </a:r>
            <a:r>
              <a:rPr lang="en-IE"/>
              <a:t>on Nutrition and healthy eating during your visit</a:t>
            </a:r>
          </a:p>
          <a:p>
            <a:pPr>
              <a:defRPr/>
            </a:pPr>
            <a:endParaRPr lang="en-IE"/>
          </a:p>
        </c:rich>
      </c:tx>
    </c:title>
    <c:plotArea>
      <c:layout/>
      <c:barChart>
        <c:barDir val="col"/>
        <c:grouping val="clustered"/>
        <c:ser>
          <c:idx val="0"/>
          <c:order val="0"/>
          <c:dLbls>
            <c:showVal val="1"/>
          </c:dLbls>
          <c:cat>
            <c:strRef>
              <c:f>OverallResults!$A$240:$A$241</c:f>
              <c:strCache>
                <c:ptCount val="2"/>
                <c:pt idx="0">
                  <c:v>Yes</c:v>
                </c:pt>
                <c:pt idx="1">
                  <c:v>No</c:v>
                </c:pt>
              </c:strCache>
            </c:strRef>
          </c:cat>
          <c:val>
            <c:numRef>
              <c:f>OverallResults!$D$240:$D$241</c:f>
              <c:numCache>
                <c:formatCode>0.0</c:formatCode>
                <c:ptCount val="2"/>
                <c:pt idx="0">
                  <c:v>0</c:v>
                </c:pt>
                <c:pt idx="1">
                  <c:v>0</c:v>
                </c:pt>
              </c:numCache>
            </c:numRef>
          </c:val>
        </c:ser>
        <c:dLbls/>
        <c:axId val="80784384"/>
        <c:axId val="80802560"/>
      </c:barChart>
      <c:catAx>
        <c:axId val="80784384"/>
        <c:scaling>
          <c:orientation val="minMax"/>
        </c:scaling>
        <c:axPos val="b"/>
        <c:numFmt formatCode="General" sourceLinked="1"/>
        <c:majorTickMark val="none"/>
        <c:tickLblPos val="nextTo"/>
        <c:crossAx val="80802560"/>
        <c:crosses val="autoZero"/>
        <c:auto val="1"/>
        <c:lblAlgn val="ctr"/>
        <c:lblOffset val="100"/>
      </c:catAx>
      <c:valAx>
        <c:axId val="80802560"/>
        <c:scaling>
          <c:orientation val="minMax"/>
          <c:max val="100"/>
        </c:scaling>
        <c:axPos val="l"/>
        <c:majorGridlines/>
        <c:numFmt formatCode="0.0" sourceLinked="1"/>
        <c:majorTickMark val="none"/>
        <c:tickLblPos val="nextTo"/>
        <c:crossAx val="80784384"/>
        <c:crosses val="autoZero"/>
        <c:crossBetween val="between"/>
      </c:valAx>
    </c:plotArea>
    <c:plotVisOnly val="1"/>
    <c:dispBlanksAs val="gap"/>
  </c:chart>
  <c:printSettings>
    <c:headerFooter/>
    <c:pageMargins b="0.75000000000000733" l="0.70000000000000062" r="0.70000000000000062" t="0.75000000000000733"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lang val="en-IE"/>
  <c:chart>
    <c:title>
      <c:tx>
        <c:rich>
          <a:bodyPr/>
          <a:lstStyle/>
          <a:p>
            <a:pPr>
              <a:defRPr/>
            </a:pPr>
            <a:r>
              <a:rPr lang="en-IE" sz="1800" b="1" i="0" u="none" strike="noStrike" baseline="0"/>
              <a:t>Information or advice received </a:t>
            </a:r>
            <a:r>
              <a:rPr lang="en-IE"/>
              <a:t>on Physical activity during your visit </a:t>
            </a:r>
          </a:p>
        </c:rich>
      </c:tx>
    </c:title>
    <c:plotArea>
      <c:layout/>
      <c:barChart>
        <c:barDir val="col"/>
        <c:grouping val="clustered"/>
        <c:ser>
          <c:idx val="0"/>
          <c:order val="0"/>
          <c:dLbls>
            <c:showVal val="1"/>
          </c:dLbls>
          <c:cat>
            <c:strRef>
              <c:f>OverallResults!$A$249:$A$250</c:f>
              <c:strCache>
                <c:ptCount val="2"/>
                <c:pt idx="0">
                  <c:v>Yes</c:v>
                </c:pt>
                <c:pt idx="1">
                  <c:v>No</c:v>
                </c:pt>
              </c:strCache>
            </c:strRef>
          </c:cat>
          <c:val>
            <c:numRef>
              <c:f>OverallResults!$D$249:$D$250</c:f>
              <c:numCache>
                <c:formatCode>0.0</c:formatCode>
                <c:ptCount val="2"/>
                <c:pt idx="0">
                  <c:v>0</c:v>
                </c:pt>
                <c:pt idx="1">
                  <c:v>0</c:v>
                </c:pt>
              </c:numCache>
            </c:numRef>
          </c:val>
        </c:ser>
        <c:dLbls/>
        <c:axId val="80826752"/>
        <c:axId val="80828288"/>
      </c:barChart>
      <c:catAx>
        <c:axId val="80826752"/>
        <c:scaling>
          <c:orientation val="minMax"/>
        </c:scaling>
        <c:axPos val="b"/>
        <c:numFmt formatCode="General" sourceLinked="1"/>
        <c:majorTickMark val="none"/>
        <c:tickLblPos val="nextTo"/>
        <c:crossAx val="80828288"/>
        <c:crosses val="autoZero"/>
        <c:auto val="1"/>
        <c:lblAlgn val="ctr"/>
        <c:lblOffset val="100"/>
      </c:catAx>
      <c:valAx>
        <c:axId val="80828288"/>
        <c:scaling>
          <c:orientation val="minMax"/>
          <c:max val="100"/>
        </c:scaling>
        <c:axPos val="l"/>
        <c:majorGridlines/>
        <c:numFmt formatCode="0.0" sourceLinked="1"/>
        <c:majorTickMark val="none"/>
        <c:tickLblPos val="nextTo"/>
        <c:crossAx val="80826752"/>
        <c:crosses val="autoZero"/>
        <c:crossBetween val="between"/>
      </c:valAx>
    </c:plotArea>
    <c:plotVisOnly val="1"/>
    <c:dispBlanksAs val="gap"/>
  </c:chart>
  <c:printSettings>
    <c:headerFooter/>
    <c:pageMargins b="0.75000000000000755" l="0.70000000000000062" r="0.70000000000000062" t="0.75000000000000755"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lang val="en-IE"/>
  <c:chart>
    <c:title>
      <c:tx>
        <c:rich>
          <a:bodyPr/>
          <a:lstStyle/>
          <a:p>
            <a:pPr>
              <a:defRPr/>
            </a:pPr>
            <a:r>
              <a:rPr lang="en-IE" sz="1800" b="1" i="0" u="none" strike="noStrike" baseline="0"/>
              <a:t>Information or advice received </a:t>
            </a:r>
            <a:r>
              <a:rPr lang="en-IE"/>
              <a:t>on Alcohol use during your visit</a:t>
            </a:r>
          </a:p>
        </c:rich>
      </c:tx>
    </c:title>
    <c:plotArea>
      <c:layout/>
      <c:barChart>
        <c:barDir val="col"/>
        <c:grouping val="clustered"/>
        <c:ser>
          <c:idx val="0"/>
          <c:order val="0"/>
          <c:dLbls>
            <c:showVal val="1"/>
          </c:dLbls>
          <c:cat>
            <c:strRef>
              <c:f>OverallResults!$A$258:$A$259</c:f>
              <c:strCache>
                <c:ptCount val="2"/>
                <c:pt idx="0">
                  <c:v>Yes</c:v>
                </c:pt>
                <c:pt idx="1">
                  <c:v>No</c:v>
                </c:pt>
              </c:strCache>
            </c:strRef>
          </c:cat>
          <c:val>
            <c:numRef>
              <c:f>OverallResults!$D$258:$D$259</c:f>
              <c:numCache>
                <c:formatCode>0.0</c:formatCode>
                <c:ptCount val="2"/>
                <c:pt idx="0">
                  <c:v>0</c:v>
                </c:pt>
                <c:pt idx="1">
                  <c:v>0</c:v>
                </c:pt>
              </c:numCache>
            </c:numRef>
          </c:val>
        </c:ser>
        <c:dLbls/>
        <c:axId val="80872576"/>
        <c:axId val="80874112"/>
      </c:barChart>
      <c:catAx>
        <c:axId val="80872576"/>
        <c:scaling>
          <c:orientation val="minMax"/>
        </c:scaling>
        <c:axPos val="b"/>
        <c:numFmt formatCode="General" sourceLinked="1"/>
        <c:majorTickMark val="none"/>
        <c:tickLblPos val="nextTo"/>
        <c:crossAx val="80874112"/>
        <c:crosses val="autoZero"/>
        <c:auto val="1"/>
        <c:lblAlgn val="ctr"/>
        <c:lblOffset val="100"/>
      </c:catAx>
      <c:valAx>
        <c:axId val="80874112"/>
        <c:scaling>
          <c:orientation val="minMax"/>
          <c:max val="100"/>
        </c:scaling>
        <c:axPos val="l"/>
        <c:majorGridlines/>
        <c:numFmt formatCode="0.0" sourceLinked="1"/>
        <c:majorTickMark val="none"/>
        <c:tickLblPos val="nextTo"/>
        <c:crossAx val="80872576"/>
        <c:crosses val="autoZero"/>
        <c:crossBetween val="between"/>
      </c:valAx>
    </c:plotArea>
    <c:plotVisOnly val="1"/>
    <c:dispBlanksAs val="gap"/>
  </c:chart>
  <c:printSettings>
    <c:headerFooter/>
    <c:pageMargins b="0.75000000000000777" l="0.70000000000000062" r="0.70000000000000062" t="0.75000000000000777"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lang val="en-IE"/>
  <c:chart>
    <c:title>
      <c:tx>
        <c:rich>
          <a:bodyPr/>
          <a:lstStyle/>
          <a:p>
            <a:pPr>
              <a:defRPr/>
            </a:pPr>
            <a:r>
              <a:rPr lang="en-IE" sz="1800" b="1" i="0" u="none" strike="noStrike" baseline="0"/>
              <a:t>Information or advice received </a:t>
            </a:r>
            <a:r>
              <a:rPr lang="en-IE"/>
              <a:t>on Mental health and wellbeing during your visit</a:t>
            </a:r>
          </a:p>
        </c:rich>
      </c:tx>
    </c:title>
    <c:plotArea>
      <c:layout/>
      <c:barChart>
        <c:barDir val="col"/>
        <c:grouping val="clustered"/>
        <c:ser>
          <c:idx val="0"/>
          <c:order val="0"/>
          <c:dLbls>
            <c:showVal val="1"/>
          </c:dLbls>
          <c:cat>
            <c:strRef>
              <c:f>OverallResults!$A$267:$A$268</c:f>
              <c:strCache>
                <c:ptCount val="2"/>
                <c:pt idx="0">
                  <c:v>Yes</c:v>
                </c:pt>
                <c:pt idx="1">
                  <c:v>No</c:v>
                </c:pt>
              </c:strCache>
            </c:strRef>
          </c:cat>
          <c:val>
            <c:numRef>
              <c:f>OverallResults!$D$267:$D$268</c:f>
              <c:numCache>
                <c:formatCode>0.0</c:formatCode>
                <c:ptCount val="2"/>
                <c:pt idx="0">
                  <c:v>0</c:v>
                </c:pt>
                <c:pt idx="1">
                  <c:v>0</c:v>
                </c:pt>
              </c:numCache>
            </c:numRef>
          </c:val>
        </c:ser>
        <c:dLbls/>
        <c:axId val="80902400"/>
        <c:axId val="80908288"/>
      </c:barChart>
      <c:catAx>
        <c:axId val="80902400"/>
        <c:scaling>
          <c:orientation val="minMax"/>
        </c:scaling>
        <c:axPos val="b"/>
        <c:numFmt formatCode="General" sourceLinked="1"/>
        <c:majorTickMark val="none"/>
        <c:tickLblPos val="nextTo"/>
        <c:crossAx val="80908288"/>
        <c:crosses val="autoZero"/>
        <c:auto val="1"/>
        <c:lblAlgn val="ctr"/>
        <c:lblOffset val="100"/>
      </c:catAx>
      <c:valAx>
        <c:axId val="80908288"/>
        <c:scaling>
          <c:orientation val="minMax"/>
          <c:max val="100"/>
        </c:scaling>
        <c:axPos val="l"/>
        <c:majorGridlines/>
        <c:numFmt formatCode="0.0" sourceLinked="1"/>
        <c:majorTickMark val="none"/>
        <c:tickLblPos val="nextTo"/>
        <c:crossAx val="80902400"/>
        <c:crosses val="autoZero"/>
        <c:crossBetween val="between"/>
      </c:valAx>
    </c:plotArea>
    <c:plotVisOnly val="1"/>
    <c:dispBlanksAs val="gap"/>
  </c:chart>
  <c:printSettings>
    <c:headerFooter/>
    <c:pageMargins b="0.75000000000000799" l="0.70000000000000062" r="0.70000000000000062" t="0.75000000000000799"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lang val="en-IE"/>
  <c:chart>
    <c:title>
      <c:tx>
        <c:rich>
          <a:bodyPr/>
          <a:lstStyle/>
          <a:p>
            <a:pPr>
              <a:defRPr/>
            </a:pPr>
            <a:r>
              <a:rPr lang="en-IE" sz="1800" b="1" i="0" u="none" strike="noStrike" baseline="0"/>
              <a:t>Information or advice received </a:t>
            </a:r>
            <a:r>
              <a:rPr lang="en-IE"/>
              <a:t>on Dementia during your visit</a:t>
            </a:r>
          </a:p>
        </c:rich>
      </c:tx>
    </c:title>
    <c:plotArea>
      <c:layout/>
      <c:barChart>
        <c:barDir val="col"/>
        <c:grouping val="clustered"/>
        <c:ser>
          <c:idx val="0"/>
          <c:order val="0"/>
          <c:dLbls>
            <c:showVal val="1"/>
          </c:dLbls>
          <c:cat>
            <c:strRef>
              <c:f>OverallResults!$A$276:$A$277</c:f>
              <c:strCache>
                <c:ptCount val="2"/>
                <c:pt idx="0">
                  <c:v>Yes</c:v>
                </c:pt>
                <c:pt idx="1">
                  <c:v>No</c:v>
                </c:pt>
              </c:strCache>
            </c:strRef>
          </c:cat>
          <c:val>
            <c:numRef>
              <c:f>OverallResults!$D$276:$D$277</c:f>
              <c:numCache>
                <c:formatCode>0.0</c:formatCode>
                <c:ptCount val="2"/>
                <c:pt idx="0">
                  <c:v>0</c:v>
                </c:pt>
                <c:pt idx="1">
                  <c:v>0</c:v>
                </c:pt>
              </c:numCache>
            </c:numRef>
          </c:val>
        </c:ser>
        <c:dLbls/>
        <c:axId val="80928128"/>
        <c:axId val="80929920"/>
      </c:barChart>
      <c:catAx>
        <c:axId val="80928128"/>
        <c:scaling>
          <c:orientation val="minMax"/>
        </c:scaling>
        <c:axPos val="b"/>
        <c:numFmt formatCode="General" sourceLinked="1"/>
        <c:majorTickMark val="none"/>
        <c:tickLblPos val="nextTo"/>
        <c:crossAx val="80929920"/>
        <c:crosses val="autoZero"/>
        <c:auto val="1"/>
        <c:lblAlgn val="ctr"/>
        <c:lblOffset val="100"/>
      </c:catAx>
      <c:valAx>
        <c:axId val="80929920"/>
        <c:scaling>
          <c:orientation val="minMax"/>
          <c:max val="100"/>
        </c:scaling>
        <c:axPos val="l"/>
        <c:majorGridlines/>
        <c:numFmt formatCode="0.0" sourceLinked="1"/>
        <c:majorTickMark val="none"/>
        <c:tickLblPos val="nextTo"/>
        <c:crossAx val="80928128"/>
        <c:crosses val="autoZero"/>
        <c:crossBetween val="between"/>
      </c:valAx>
    </c:plotArea>
    <c:plotVisOnly val="1"/>
    <c:dispBlanksAs val="gap"/>
  </c:chart>
  <c:printSettings>
    <c:headerFooter/>
    <c:pageMargins b="0.75000000000000822" l="0.70000000000000062" r="0.70000000000000062" t="0.75000000000000822"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lang val="en-IE"/>
  <c:chart>
    <c:title>
      <c:tx>
        <c:rich>
          <a:bodyPr/>
          <a:lstStyle/>
          <a:p>
            <a:pPr>
              <a:defRPr/>
            </a:pPr>
            <a:r>
              <a:rPr lang="en-IE" sz="1800" b="1" i="0" u="none" strike="noStrike" baseline="0"/>
              <a:t>Information or advice received </a:t>
            </a:r>
            <a:r>
              <a:rPr lang="en-IE"/>
              <a:t>on Falls prevention during your visit</a:t>
            </a:r>
          </a:p>
        </c:rich>
      </c:tx>
    </c:title>
    <c:plotArea>
      <c:layout/>
      <c:barChart>
        <c:barDir val="col"/>
        <c:grouping val="clustered"/>
        <c:ser>
          <c:idx val="0"/>
          <c:order val="0"/>
          <c:dLbls>
            <c:showVal val="1"/>
          </c:dLbls>
          <c:cat>
            <c:strRef>
              <c:f>OverallResults!$A$285:$A$286</c:f>
              <c:strCache>
                <c:ptCount val="2"/>
                <c:pt idx="0">
                  <c:v>Yes</c:v>
                </c:pt>
                <c:pt idx="1">
                  <c:v>No</c:v>
                </c:pt>
              </c:strCache>
            </c:strRef>
          </c:cat>
          <c:val>
            <c:numRef>
              <c:f>OverallResults!$D$285:$D$286</c:f>
              <c:numCache>
                <c:formatCode>0.0</c:formatCode>
                <c:ptCount val="2"/>
                <c:pt idx="0">
                  <c:v>0</c:v>
                </c:pt>
                <c:pt idx="1">
                  <c:v>0</c:v>
                </c:pt>
              </c:numCache>
            </c:numRef>
          </c:val>
        </c:ser>
        <c:dLbls/>
        <c:axId val="80966784"/>
        <c:axId val="80968320"/>
      </c:barChart>
      <c:catAx>
        <c:axId val="80966784"/>
        <c:scaling>
          <c:orientation val="minMax"/>
        </c:scaling>
        <c:axPos val="b"/>
        <c:numFmt formatCode="General" sourceLinked="1"/>
        <c:majorTickMark val="none"/>
        <c:tickLblPos val="nextTo"/>
        <c:crossAx val="80968320"/>
        <c:crosses val="autoZero"/>
        <c:auto val="1"/>
        <c:lblAlgn val="ctr"/>
        <c:lblOffset val="100"/>
      </c:catAx>
      <c:valAx>
        <c:axId val="80968320"/>
        <c:scaling>
          <c:orientation val="minMax"/>
          <c:max val="100"/>
        </c:scaling>
        <c:axPos val="l"/>
        <c:majorGridlines/>
        <c:numFmt formatCode="0.0" sourceLinked="1"/>
        <c:majorTickMark val="none"/>
        <c:tickLblPos val="nextTo"/>
        <c:crossAx val="80966784"/>
        <c:crosses val="autoZero"/>
        <c:crossBetween val="between"/>
      </c:valAx>
    </c:plotArea>
    <c:plotVisOnly val="1"/>
    <c:dispBlanksAs val="gap"/>
  </c:chart>
  <c:printSettings>
    <c:headerFooter/>
    <c:pageMargins b="0.75000000000000844" l="0.70000000000000062" r="0.70000000000000062" t="0.75000000000000844"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lang val="en-IE"/>
  <c:chart>
    <c:title>
      <c:tx>
        <c:rich>
          <a:bodyPr/>
          <a:lstStyle/>
          <a:p>
            <a:pPr>
              <a:defRPr/>
            </a:pPr>
            <a:r>
              <a:rPr lang="en-IE" sz="1800" b="1" i="0" u="none" strike="noStrike" baseline="0"/>
              <a:t>Information or advice received </a:t>
            </a:r>
            <a:r>
              <a:rPr lang="en-IE"/>
              <a:t>on Drug use during your visit</a:t>
            </a:r>
          </a:p>
        </c:rich>
      </c:tx>
    </c:title>
    <c:plotArea>
      <c:layout/>
      <c:barChart>
        <c:barDir val="col"/>
        <c:grouping val="clustered"/>
        <c:ser>
          <c:idx val="0"/>
          <c:order val="0"/>
          <c:dLbls>
            <c:showVal val="1"/>
          </c:dLbls>
          <c:cat>
            <c:strRef>
              <c:f>OverallResults!$A$294:$A$295</c:f>
              <c:strCache>
                <c:ptCount val="2"/>
                <c:pt idx="0">
                  <c:v>Yes</c:v>
                </c:pt>
                <c:pt idx="1">
                  <c:v>No</c:v>
                </c:pt>
              </c:strCache>
            </c:strRef>
          </c:cat>
          <c:val>
            <c:numRef>
              <c:f>OverallResults!$D$294:$D$295</c:f>
              <c:numCache>
                <c:formatCode>0.0</c:formatCode>
                <c:ptCount val="2"/>
                <c:pt idx="0">
                  <c:v>0</c:v>
                </c:pt>
                <c:pt idx="1">
                  <c:v>0</c:v>
                </c:pt>
              </c:numCache>
            </c:numRef>
          </c:val>
        </c:ser>
        <c:dLbls/>
        <c:axId val="82323712"/>
        <c:axId val="82337792"/>
      </c:barChart>
      <c:catAx>
        <c:axId val="82323712"/>
        <c:scaling>
          <c:orientation val="minMax"/>
        </c:scaling>
        <c:axPos val="b"/>
        <c:numFmt formatCode="General" sourceLinked="1"/>
        <c:majorTickMark val="none"/>
        <c:tickLblPos val="nextTo"/>
        <c:crossAx val="82337792"/>
        <c:crosses val="autoZero"/>
        <c:auto val="1"/>
        <c:lblAlgn val="ctr"/>
        <c:lblOffset val="100"/>
      </c:catAx>
      <c:valAx>
        <c:axId val="82337792"/>
        <c:scaling>
          <c:orientation val="minMax"/>
          <c:max val="100"/>
        </c:scaling>
        <c:axPos val="l"/>
        <c:majorGridlines/>
        <c:numFmt formatCode="0.0" sourceLinked="1"/>
        <c:majorTickMark val="none"/>
        <c:tickLblPos val="nextTo"/>
        <c:crossAx val="82323712"/>
        <c:crosses val="autoZero"/>
        <c:crossBetween val="between"/>
      </c:valAx>
    </c:plotArea>
    <c:plotVisOnly val="1"/>
    <c:dispBlanksAs val="gap"/>
  </c:chart>
  <c:printSettings>
    <c:headerFooter/>
    <c:pageMargins b="0.75000000000000866" l="0.70000000000000062" r="0.70000000000000062" t="0.75000000000000866"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IE"/>
  <c:chart>
    <c:title>
      <c:tx>
        <c:rich>
          <a:bodyPr/>
          <a:lstStyle/>
          <a:p>
            <a:pPr>
              <a:defRPr/>
            </a:pPr>
            <a:r>
              <a:rPr lang="en-IE"/>
              <a:t>Holder</a:t>
            </a:r>
            <a:r>
              <a:rPr lang="en-IE" baseline="0"/>
              <a:t> of Health Cards</a:t>
            </a:r>
            <a:endParaRPr lang="en-IE"/>
          </a:p>
        </c:rich>
      </c:tx>
    </c:title>
    <c:plotArea>
      <c:layout/>
      <c:barChart>
        <c:barDir val="col"/>
        <c:grouping val="clustered"/>
        <c:ser>
          <c:idx val="1"/>
          <c:order val="0"/>
          <c:dLbls>
            <c:showVal val="1"/>
          </c:dLbls>
          <c:cat>
            <c:strRef>
              <c:f>OverallResults!$A$32:$A$40</c:f>
              <c:strCache>
                <c:ptCount val="9"/>
                <c:pt idx="0">
                  <c:v>Medical Card</c:v>
                </c:pt>
                <c:pt idx="1">
                  <c:v>GP Visit Card</c:v>
                </c:pt>
                <c:pt idx="2">
                  <c:v>Long-term Illness Card</c:v>
                </c:pt>
                <c:pt idx="3">
                  <c:v>Health Amendment Act Card</c:v>
                </c:pt>
                <c:pt idx="4">
                  <c:v>European Health Insurance Card</c:v>
                </c:pt>
                <c:pt idx="5">
                  <c:v>Drug Payment Scheme Card</c:v>
                </c:pt>
                <c:pt idx="6">
                  <c:v>Other</c:v>
                </c:pt>
                <c:pt idx="7">
                  <c:v>2 or more of the above cards</c:v>
                </c:pt>
                <c:pt idx="8">
                  <c:v>None of these</c:v>
                </c:pt>
              </c:strCache>
            </c:strRef>
          </c:cat>
          <c:val>
            <c:numRef>
              <c:f>OverallResults!$D$32:$D$40</c:f>
              <c:numCache>
                <c:formatCode>0.0</c:formatCode>
                <c:ptCount val="9"/>
                <c:pt idx="0">
                  <c:v>0</c:v>
                </c:pt>
                <c:pt idx="1">
                  <c:v>0</c:v>
                </c:pt>
                <c:pt idx="2">
                  <c:v>0</c:v>
                </c:pt>
                <c:pt idx="3">
                  <c:v>0</c:v>
                </c:pt>
                <c:pt idx="4">
                  <c:v>0</c:v>
                </c:pt>
                <c:pt idx="5">
                  <c:v>0</c:v>
                </c:pt>
                <c:pt idx="6">
                  <c:v>0</c:v>
                </c:pt>
                <c:pt idx="7">
                  <c:v>0</c:v>
                </c:pt>
                <c:pt idx="8">
                  <c:v>0</c:v>
                </c:pt>
              </c:numCache>
            </c:numRef>
          </c:val>
        </c:ser>
        <c:dLbls/>
        <c:axId val="79617024"/>
        <c:axId val="79766272"/>
      </c:barChart>
      <c:catAx>
        <c:axId val="79617024"/>
        <c:scaling>
          <c:orientation val="minMax"/>
        </c:scaling>
        <c:axPos val="b"/>
        <c:majorTickMark val="none"/>
        <c:tickLblPos val="nextTo"/>
        <c:crossAx val="79766272"/>
        <c:crosses val="autoZero"/>
        <c:auto val="1"/>
        <c:lblAlgn val="ctr"/>
        <c:lblOffset val="100"/>
      </c:catAx>
      <c:valAx>
        <c:axId val="79766272"/>
        <c:scaling>
          <c:orientation val="minMax"/>
          <c:max val="100"/>
        </c:scaling>
        <c:axPos val="l"/>
        <c:majorGridlines/>
        <c:numFmt formatCode="0.0" sourceLinked="1"/>
        <c:majorTickMark val="none"/>
        <c:tickLblPos val="nextTo"/>
        <c:crossAx val="79617024"/>
        <c:crosses val="autoZero"/>
        <c:crossBetween val="between"/>
      </c:valAx>
    </c:plotArea>
    <c:plotVisOnly val="1"/>
    <c:dispBlanksAs val="gap"/>
  </c:chart>
  <c:printSettings>
    <c:headerFooter/>
    <c:pageMargins b="0.75000000000000377" l="0.70000000000000062" r="0.70000000000000062" t="0.75000000000000377"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lang val="en-IE"/>
  <c:chart>
    <c:title>
      <c:tx>
        <c:rich>
          <a:bodyPr/>
          <a:lstStyle/>
          <a:p>
            <a:pPr>
              <a:defRPr/>
            </a:pPr>
            <a:r>
              <a:rPr lang="en-IE" sz="1800" b="1" i="0" u="none" strike="noStrike" baseline="0"/>
              <a:t>Information or advice received </a:t>
            </a:r>
            <a:r>
              <a:rPr lang="en-IE"/>
              <a:t>on Other issues during your visit</a:t>
            </a:r>
          </a:p>
        </c:rich>
      </c:tx>
    </c:title>
    <c:plotArea>
      <c:layout/>
      <c:barChart>
        <c:barDir val="col"/>
        <c:grouping val="clustered"/>
        <c:ser>
          <c:idx val="0"/>
          <c:order val="0"/>
          <c:dLbls>
            <c:showVal val="1"/>
          </c:dLbls>
          <c:cat>
            <c:strRef>
              <c:f>OverallResults!$A$303:$A$304</c:f>
              <c:strCache>
                <c:ptCount val="2"/>
                <c:pt idx="0">
                  <c:v>Yes</c:v>
                </c:pt>
                <c:pt idx="1">
                  <c:v>No</c:v>
                </c:pt>
              </c:strCache>
            </c:strRef>
          </c:cat>
          <c:val>
            <c:numRef>
              <c:f>OverallResults!$D$303:$D$304</c:f>
              <c:numCache>
                <c:formatCode>0.0</c:formatCode>
                <c:ptCount val="2"/>
                <c:pt idx="0">
                  <c:v>0</c:v>
                </c:pt>
                <c:pt idx="1">
                  <c:v>0</c:v>
                </c:pt>
              </c:numCache>
            </c:numRef>
          </c:val>
        </c:ser>
        <c:dLbls/>
        <c:axId val="82345344"/>
        <c:axId val="82367616"/>
      </c:barChart>
      <c:catAx>
        <c:axId val="82345344"/>
        <c:scaling>
          <c:orientation val="minMax"/>
        </c:scaling>
        <c:axPos val="b"/>
        <c:numFmt formatCode="General" sourceLinked="1"/>
        <c:majorTickMark val="none"/>
        <c:tickLblPos val="nextTo"/>
        <c:crossAx val="82367616"/>
        <c:crosses val="autoZero"/>
        <c:auto val="1"/>
        <c:lblAlgn val="ctr"/>
        <c:lblOffset val="100"/>
      </c:catAx>
      <c:valAx>
        <c:axId val="82367616"/>
        <c:scaling>
          <c:orientation val="minMax"/>
          <c:max val="100"/>
        </c:scaling>
        <c:axPos val="l"/>
        <c:majorGridlines/>
        <c:numFmt formatCode="0.0" sourceLinked="1"/>
        <c:majorTickMark val="none"/>
        <c:tickLblPos val="nextTo"/>
        <c:crossAx val="82345344"/>
        <c:crosses val="autoZero"/>
        <c:crossBetween val="between"/>
      </c:valAx>
    </c:plotArea>
    <c:plotVisOnly val="1"/>
    <c:dispBlanksAs val="gap"/>
  </c:chart>
  <c:printSettings>
    <c:headerFooter/>
    <c:pageMargins b="0.75000000000000888" l="0.70000000000000062" r="0.70000000000000062" t="0.75000000000000888"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lang val="en-IE"/>
  <c:chart>
    <c:title>
      <c:tx>
        <c:strRef>
          <c:f>OverallResults!$A$310</c:f>
          <c:strCache>
            <c:ptCount val="1"/>
            <c:pt idx="0">
              <c:v>Patient highlighted other areas for information or advice</c:v>
            </c:pt>
          </c:strCache>
        </c:strRef>
      </c:tx>
    </c:title>
    <c:plotArea>
      <c:layout/>
      <c:barChart>
        <c:barDir val="col"/>
        <c:grouping val="clustered"/>
        <c:ser>
          <c:idx val="0"/>
          <c:order val="0"/>
          <c:dLbls>
            <c:showVal val="1"/>
          </c:dLbls>
          <c:cat>
            <c:strRef>
              <c:f>OverallResults!$A$312:$A$313</c:f>
              <c:strCache>
                <c:ptCount val="2"/>
                <c:pt idx="0">
                  <c:v>Yes</c:v>
                </c:pt>
                <c:pt idx="1">
                  <c:v>No</c:v>
                </c:pt>
              </c:strCache>
            </c:strRef>
          </c:cat>
          <c:val>
            <c:numRef>
              <c:f>OverallResults!$D$312:$D$313</c:f>
              <c:numCache>
                <c:formatCode>0.0</c:formatCode>
                <c:ptCount val="2"/>
                <c:pt idx="0">
                  <c:v>0</c:v>
                </c:pt>
                <c:pt idx="1">
                  <c:v>0</c:v>
                </c:pt>
              </c:numCache>
            </c:numRef>
          </c:val>
        </c:ser>
        <c:dLbls/>
        <c:axId val="78840576"/>
        <c:axId val="78842112"/>
      </c:barChart>
      <c:catAx>
        <c:axId val="78840576"/>
        <c:scaling>
          <c:orientation val="minMax"/>
        </c:scaling>
        <c:axPos val="b"/>
        <c:numFmt formatCode="General" sourceLinked="1"/>
        <c:majorTickMark val="none"/>
        <c:tickLblPos val="nextTo"/>
        <c:crossAx val="78842112"/>
        <c:crosses val="autoZero"/>
        <c:auto val="1"/>
        <c:lblAlgn val="ctr"/>
        <c:lblOffset val="100"/>
      </c:catAx>
      <c:valAx>
        <c:axId val="78842112"/>
        <c:scaling>
          <c:orientation val="minMax"/>
          <c:max val="100"/>
        </c:scaling>
        <c:axPos val="l"/>
        <c:majorGridlines/>
        <c:numFmt formatCode="0.0" sourceLinked="1"/>
        <c:majorTickMark val="none"/>
        <c:tickLblPos val="nextTo"/>
        <c:crossAx val="78840576"/>
        <c:crosses val="autoZero"/>
        <c:crossBetween val="between"/>
      </c:valAx>
    </c:plotArea>
    <c:plotVisOnly val="1"/>
    <c:dispBlanksAs val="gap"/>
  </c:chart>
  <c:printSettings>
    <c:headerFooter/>
    <c:pageMargins b="0.7500000000000091" l="0.70000000000000062" r="0.70000000000000062" t="0.7500000000000091" header="0.30000000000000032" footer="0.30000000000000032"/>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lang val="en-IE"/>
  <c:chart>
    <c:title>
      <c:tx>
        <c:rich>
          <a:bodyPr/>
          <a:lstStyle/>
          <a:p>
            <a:pPr>
              <a:defRPr/>
            </a:pPr>
            <a:r>
              <a:rPr lang="en-IE"/>
              <a:t>Overall</a:t>
            </a:r>
            <a:r>
              <a:rPr lang="en-IE" baseline="0"/>
              <a:t> patient rating of their appointment on day of survey</a:t>
            </a:r>
            <a:endParaRPr lang="en-IE"/>
          </a:p>
        </c:rich>
      </c:tx>
    </c:title>
    <c:plotArea>
      <c:layout/>
      <c:barChart>
        <c:barDir val="col"/>
        <c:grouping val="clustered"/>
        <c:ser>
          <c:idx val="0"/>
          <c:order val="0"/>
          <c:dLbls>
            <c:showVal val="1"/>
          </c:dLbls>
          <c:cat>
            <c:strRef>
              <c:f>OverallResults!$A$320:$A$324</c:f>
              <c:strCache>
                <c:ptCount val="5"/>
                <c:pt idx="0">
                  <c:v>Excellent</c:v>
                </c:pt>
                <c:pt idx="1">
                  <c:v>Very Good</c:v>
                </c:pt>
                <c:pt idx="2">
                  <c:v>Good</c:v>
                </c:pt>
                <c:pt idx="3">
                  <c:v>Poor </c:v>
                </c:pt>
                <c:pt idx="4">
                  <c:v>Very Poor</c:v>
                </c:pt>
              </c:strCache>
            </c:strRef>
          </c:cat>
          <c:val>
            <c:numRef>
              <c:f>OverallResults!$D$320:$D$324</c:f>
              <c:numCache>
                <c:formatCode>0.0</c:formatCode>
                <c:ptCount val="5"/>
                <c:pt idx="0">
                  <c:v>0</c:v>
                </c:pt>
                <c:pt idx="1">
                  <c:v>0</c:v>
                </c:pt>
                <c:pt idx="2">
                  <c:v>0</c:v>
                </c:pt>
                <c:pt idx="3">
                  <c:v>0</c:v>
                </c:pt>
                <c:pt idx="4">
                  <c:v>0</c:v>
                </c:pt>
              </c:numCache>
            </c:numRef>
          </c:val>
        </c:ser>
        <c:dLbls/>
        <c:axId val="78886784"/>
        <c:axId val="78888320"/>
      </c:barChart>
      <c:catAx>
        <c:axId val="78886784"/>
        <c:scaling>
          <c:orientation val="minMax"/>
        </c:scaling>
        <c:axPos val="b"/>
        <c:numFmt formatCode="General" sourceLinked="1"/>
        <c:majorTickMark val="none"/>
        <c:tickLblPos val="nextTo"/>
        <c:crossAx val="78888320"/>
        <c:crosses val="autoZero"/>
        <c:auto val="1"/>
        <c:lblAlgn val="ctr"/>
        <c:lblOffset val="100"/>
      </c:catAx>
      <c:valAx>
        <c:axId val="78888320"/>
        <c:scaling>
          <c:orientation val="minMax"/>
          <c:max val="100"/>
        </c:scaling>
        <c:axPos val="l"/>
        <c:majorGridlines/>
        <c:numFmt formatCode="0.0" sourceLinked="1"/>
        <c:majorTickMark val="none"/>
        <c:tickLblPos val="nextTo"/>
        <c:crossAx val="78886784"/>
        <c:crosses val="autoZero"/>
        <c:crossBetween val="between"/>
      </c:valAx>
    </c:plotArea>
    <c:plotVisOnly val="1"/>
    <c:dispBlanksAs val="gap"/>
  </c:chart>
  <c:printSettings>
    <c:headerFooter/>
    <c:pageMargins b="0.75000000000000933" l="0.70000000000000062" r="0.70000000000000062" t="0.75000000000000933"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lang val="en-IE"/>
  <c:chart>
    <c:title>
      <c:tx>
        <c:rich>
          <a:bodyPr/>
          <a:lstStyle/>
          <a:p>
            <a:pPr>
              <a:defRPr/>
            </a:pPr>
            <a:r>
              <a:rPr lang="en-IE"/>
              <a:t>Patient awareness of The National Healthcare Charter, ‘You and Your Health Service’</a:t>
            </a:r>
          </a:p>
        </c:rich>
      </c:tx>
    </c:title>
    <c:plotArea>
      <c:layout/>
      <c:barChart>
        <c:barDir val="col"/>
        <c:grouping val="clustered"/>
        <c:ser>
          <c:idx val="0"/>
          <c:order val="0"/>
          <c:dLbls>
            <c:showVal val="1"/>
          </c:dLbls>
          <c:cat>
            <c:strRef>
              <c:f>OverallResults!$A$331:$A$332</c:f>
              <c:strCache>
                <c:ptCount val="2"/>
                <c:pt idx="0">
                  <c:v>Yes</c:v>
                </c:pt>
                <c:pt idx="1">
                  <c:v>No</c:v>
                </c:pt>
              </c:strCache>
            </c:strRef>
          </c:cat>
          <c:val>
            <c:numRef>
              <c:f>OverallResults!$D$331:$D$332</c:f>
              <c:numCache>
                <c:formatCode>0.0</c:formatCode>
                <c:ptCount val="2"/>
                <c:pt idx="0">
                  <c:v>0</c:v>
                </c:pt>
                <c:pt idx="1">
                  <c:v>0</c:v>
                </c:pt>
              </c:numCache>
            </c:numRef>
          </c:val>
        </c:ser>
        <c:dLbls/>
        <c:axId val="78900224"/>
        <c:axId val="82453248"/>
      </c:barChart>
      <c:catAx>
        <c:axId val="78900224"/>
        <c:scaling>
          <c:orientation val="minMax"/>
        </c:scaling>
        <c:axPos val="b"/>
        <c:numFmt formatCode="General" sourceLinked="1"/>
        <c:majorTickMark val="none"/>
        <c:tickLblPos val="nextTo"/>
        <c:crossAx val="82453248"/>
        <c:crosses val="autoZero"/>
        <c:auto val="1"/>
        <c:lblAlgn val="ctr"/>
        <c:lblOffset val="100"/>
      </c:catAx>
      <c:valAx>
        <c:axId val="82453248"/>
        <c:scaling>
          <c:orientation val="minMax"/>
          <c:max val="100"/>
        </c:scaling>
        <c:axPos val="l"/>
        <c:majorGridlines/>
        <c:numFmt formatCode="0.0" sourceLinked="1"/>
        <c:majorTickMark val="none"/>
        <c:tickLblPos val="nextTo"/>
        <c:crossAx val="78900224"/>
        <c:crosses val="autoZero"/>
        <c:crossBetween val="between"/>
      </c:valAx>
    </c:plotArea>
    <c:plotVisOnly val="1"/>
    <c:dispBlanksAs val="gap"/>
  </c:chart>
  <c:printSettings>
    <c:headerFooter/>
    <c:pageMargins b="0.75000000000000955" l="0.70000000000000062" r="0.70000000000000062" t="0.75000000000000955" header="0.30000000000000032" footer="0.30000000000000032"/>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lang val="en-IE"/>
  <c:chart>
    <c:title>
      <c:tx>
        <c:rich>
          <a:bodyPr/>
          <a:lstStyle/>
          <a:p>
            <a:pPr>
              <a:defRPr/>
            </a:pPr>
            <a:r>
              <a:rPr lang="en-IE"/>
              <a:t>Patient awareness of ‘Your Service Your Say’ (HSE Complaints Process)</a:t>
            </a:r>
          </a:p>
        </c:rich>
      </c:tx>
    </c:title>
    <c:plotArea>
      <c:layout/>
      <c:barChart>
        <c:barDir val="col"/>
        <c:grouping val="clustered"/>
        <c:ser>
          <c:idx val="0"/>
          <c:order val="0"/>
          <c:dLbls>
            <c:showVal val="1"/>
          </c:dLbls>
          <c:cat>
            <c:strRef>
              <c:f>OverallResults!$A$339:$A$340</c:f>
              <c:strCache>
                <c:ptCount val="2"/>
                <c:pt idx="0">
                  <c:v>Yes</c:v>
                </c:pt>
                <c:pt idx="1">
                  <c:v>No</c:v>
                </c:pt>
              </c:strCache>
            </c:strRef>
          </c:cat>
          <c:val>
            <c:numRef>
              <c:f>OverallResults!$D$339:$D$340</c:f>
              <c:numCache>
                <c:formatCode>0.0</c:formatCode>
                <c:ptCount val="2"/>
                <c:pt idx="0">
                  <c:v>0</c:v>
                </c:pt>
                <c:pt idx="1">
                  <c:v>0</c:v>
                </c:pt>
              </c:numCache>
            </c:numRef>
          </c:val>
        </c:ser>
        <c:dLbls/>
        <c:axId val="82493824"/>
        <c:axId val="82495360"/>
      </c:barChart>
      <c:catAx>
        <c:axId val="82493824"/>
        <c:scaling>
          <c:orientation val="minMax"/>
        </c:scaling>
        <c:axPos val="b"/>
        <c:numFmt formatCode="General" sourceLinked="1"/>
        <c:majorTickMark val="none"/>
        <c:tickLblPos val="nextTo"/>
        <c:crossAx val="82495360"/>
        <c:crosses val="autoZero"/>
        <c:auto val="1"/>
        <c:lblAlgn val="ctr"/>
        <c:lblOffset val="100"/>
      </c:catAx>
      <c:valAx>
        <c:axId val="82495360"/>
        <c:scaling>
          <c:orientation val="minMax"/>
          <c:max val="100"/>
        </c:scaling>
        <c:axPos val="l"/>
        <c:majorGridlines/>
        <c:numFmt formatCode="0.0" sourceLinked="1"/>
        <c:majorTickMark val="none"/>
        <c:tickLblPos val="nextTo"/>
        <c:crossAx val="82493824"/>
        <c:crosses val="autoZero"/>
        <c:crossBetween val="between"/>
      </c:valAx>
    </c:plotArea>
    <c:plotVisOnly val="1"/>
    <c:dispBlanksAs val="gap"/>
  </c:chart>
  <c:printSettings>
    <c:headerFooter/>
    <c:pageMargins b="0.75000000000000977" l="0.70000000000000062" r="0.70000000000000062" t="0.75000000000000977"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lang val="en-IE"/>
  <c:chart>
    <c:title>
      <c:tx>
        <c:strRef>
          <c:f>QIP!$D$2</c:f>
          <c:strCache>
            <c:ptCount val="1"/>
            <c:pt idx="0">
              <c:v>QIP status</c:v>
            </c:pt>
          </c:strCache>
        </c:strRef>
      </c:tx>
    </c:title>
    <c:plotArea>
      <c:layout/>
      <c:pieChart>
        <c:varyColors val="1"/>
        <c:ser>
          <c:idx val="0"/>
          <c:order val="0"/>
          <c:dLbls>
            <c:showPercent val="1"/>
            <c:showLeaderLines val="1"/>
          </c:dLbls>
          <c:cat>
            <c:strRef>
              <c:f>QIP!$D$3:$D$5</c:f>
              <c:strCache>
                <c:ptCount val="3"/>
                <c:pt idx="0">
                  <c:v>% Complete</c:v>
                </c:pt>
                <c:pt idx="1">
                  <c:v>% Not due</c:v>
                </c:pt>
                <c:pt idx="2">
                  <c:v>% Overdue</c:v>
                </c:pt>
              </c:strCache>
            </c:strRef>
          </c:cat>
          <c:val>
            <c:numRef>
              <c:f>QIP!$E$3:$E$5</c:f>
              <c:numCache>
                <c:formatCode>General</c:formatCode>
                <c:ptCount val="3"/>
                <c:pt idx="0">
                  <c:v>50</c:v>
                </c:pt>
                <c:pt idx="1">
                  <c:v>20</c:v>
                </c:pt>
                <c:pt idx="2">
                  <c:v>30</c:v>
                </c:pt>
              </c:numCache>
            </c:numRef>
          </c:val>
        </c:ser>
        <c:dLbls>
          <c:showPercent val="1"/>
        </c:dLbls>
        <c:firstSliceAng val="0"/>
      </c:pieChart>
    </c:plotArea>
    <c:legend>
      <c:legendPos val="r"/>
    </c:legend>
    <c:plotVisOnly val="1"/>
    <c:dispBlanksAs val="zero"/>
  </c:chart>
  <c:printSettings>
    <c:headerFooter/>
    <c:pageMargins b="0.75000000000000011" l="0.70000000000000007" r="0.70000000000000007" t="0.75000000000000011" header="0.30000000000000004" footer="0.30000000000000004"/>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lang val="en-IE"/>
  <c:chart>
    <c:title>
      <c:tx>
        <c:strRef>
          <c:f>'Search by Gender'!$A$10</c:f>
          <c:strCache>
            <c:ptCount val="1"/>
            <c:pt idx="0">
              <c:v>Gender</c:v>
            </c:pt>
          </c:strCache>
        </c:strRef>
      </c:tx>
    </c:title>
    <c:plotArea>
      <c:layout/>
      <c:barChart>
        <c:barDir val="col"/>
        <c:grouping val="clustered"/>
        <c:ser>
          <c:idx val="1"/>
          <c:order val="0"/>
          <c:dLbls>
            <c:showVal val="1"/>
          </c:dLbls>
          <c:cat>
            <c:strRef>
              <c:f>'Search by Gender'!$A$12:$A$14</c:f>
              <c:strCache>
                <c:ptCount val="3"/>
                <c:pt idx="0">
                  <c:v>Male</c:v>
                </c:pt>
                <c:pt idx="1">
                  <c:v>Female</c:v>
                </c:pt>
                <c:pt idx="2">
                  <c:v>Other</c:v>
                </c:pt>
              </c:strCache>
            </c:strRef>
          </c:cat>
          <c:val>
            <c:numRef>
              <c:f>'Search by Gender'!$D$12:$D$14</c:f>
              <c:numCache>
                <c:formatCode>0.0</c:formatCode>
                <c:ptCount val="3"/>
                <c:pt idx="0">
                  <c:v>0</c:v>
                </c:pt>
                <c:pt idx="1">
                  <c:v>0</c:v>
                </c:pt>
                <c:pt idx="2">
                  <c:v>0</c:v>
                </c:pt>
              </c:numCache>
            </c:numRef>
          </c:val>
        </c:ser>
        <c:dLbls/>
        <c:axId val="89548288"/>
        <c:axId val="89549824"/>
      </c:barChart>
      <c:catAx>
        <c:axId val="89548288"/>
        <c:scaling>
          <c:orientation val="minMax"/>
        </c:scaling>
        <c:axPos val="b"/>
        <c:majorTickMark val="none"/>
        <c:tickLblPos val="nextTo"/>
        <c:crossAx val="89549824"/>
        <c:crosses val="autoZero"/>
        <c:auto val="1"/>
        <c:lblAlgn val="ctr"/>
        <c:lblOffset val="100"/>
      </c:catAx>
      <c:valAx>
        <c:axId val="89549824"/>
        <c:scaling>
          <c:orientation val="minMax"/>
          <c:max val="100"/>
        </c:scaling>
        <c:axPos val="l"/>
        <c:majorGridlines/>
        <c:numFmt formatCode="0.0" sourceLinked="1"/>
        <c:majorTickMark val="none"/>
        <c:tickLblPos val="nextTo"/>
        <c:crossAx val="89548288"/>
        <c:crosses val="autoZero"/>
        <c:crossBetween val="between"/>
      </c:valAx>
    </c:plotArea>
    <c:plotVisOnly val="1"/>
    <c:dispBlanksAs val="gap"/>
  </c:chart>
  <c:printSettings>
    <c:headerFooter/>
    <c:pageMargins b="0.75000000000000377" l="0.70000000000000062" r="0.70000000000000062" t="0.75000000000000377"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lang val="en-IE"/>
  <c:chart>
    <c:title>
      <c:tx>
        <c:strRef>
          <c:f>'Search by Gender'!$A$19</c:f>
          <c:strCache>
            <c:ptCount val="1"/>
            <c:pt idx="0">
              <c:v>Age category</c:v>
            </c:pt>
          </c:strCache>
        </c:strRef>
      </c:tx>
    </c:title>
    <c:plotArea>
      <c:layout/>
      <c:barChart>
        <c:barDir val="col"/>
        <c:grouping val="clustered"/>
        <c:ser>
          <c:idx val="0"/>
          <c:order val="0"/>
          <c:dLbls>
            <c:showVal val="1"/>
          </c:dLbls>
          <c:cat>
            <c:strRef>
              <c:f>'Search by Gender'!$A$21:$A$26</c:f>
              <c:strCache>
                <c:ptCount val="6"/>
                <c:pt idx="0">
                  <c:v>Under 18 years of age</c:v>
                </c:pt>
                <c:pt idx="1">
                  <c:v>18-24yrs</c:v>
                </c:pt>
                <c:pt idx="2">
                  <c:v>25-44yrs</c:v>
                </c:pt>
                <c:pt idx="3">
                  <c:v>45-64yrs</c:v>
                </c:pt>
                <c:pt idx="4">
                  <c:v>65-74yrs</c:v>
                </c:pt>
                <c:pt idx="5">
                  <c:v>75 years +</c:v>
                </c:pt>
              </c:strCache>
            </c:strRef>
          </c:cat>
          <c:val>
            <c:numRef>
              <c:f>'Search by Gender'!$D$21:$D$26</c:f>
              <c:numCache>
                <c:formatCode>0.0</c:formatCode>
                <c:ptCount val="6"/>
                <c:pt idx="0">
                  <c:v>0</c:v>
                </c:pt>
                <c:pt idx="1">
                  <c:v>0</c:v>
                </c:pt>
                <c:pt idx="2">
                  <c:v>0</c:v>
                </c:pt>
                <c:pt idx="3">
                  <c:v>0</c:v>
                </c:pt>
                <c:pt idx="4">
                  <c:v>0</c:v>
                </c:pt>
                <c:pt idx="5">
                  <c:v>0</c:v>
                </c:pt>
              </c:numCache>
            </c:numRef>
          </c:val>
        </c:ser>
        <c:dLbls/>
        <c:axId val="89561728"/>
        <c:axId val="89575808"/>
      </c:barChart>
      <c:catAx>
        <c:axId val="89561728"/>
        <c:scaling>
          <c:orientation val="minMax"/>
        </c:scaling>
        <c:axPos val="b"/>
        <c:majorTickMark val="none"/>
        <c:tickLblPos val="nextTo"/>
        <c:crossAx val="89575808"/>
        <c:crosses val="autoZero"/>
        <c:auto val="1"/>
        <c:lblAlgn val="ctr"/>
        <c:lblOffset val="100"/>
      </c:catAx>
      <c:valAx>
        <c:axId val="89575808"/>
        <c:scaling>
          <c:orientation val="minMax"/>
          <c:max val="100"/>
        </c:scaling>
        <c:axPos val="l"/>
        <c:majorGridlines/>
        <c:numFmt formatCode="0.0" sourceLinked="1"/>
        <c:majorTickMark val="none"/>
        <c:tickLblPos val="nextTo"/>
        <c:crossAx val="89561728"/>
        <c:crosses val="autoZero"/>
        <c:crossBetween val="between"/>
      </c:valAx>
    </c:plotArea>
    <c:plotVisOnly val="1"/>
    <c:dispBlanksAs val="gap"/>
  </c:chart>
  <c:printSettings>
    <c:headerFooter/>
    <c:pageMargins b="0.750000000000004" l="0.70000000000000062" r="0.70000000000000062" t="0.750000000000004"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lang val="en-IE"/>
  <c:chart>
    <c:title>
      <c:tx>
        <c:strRef>
          <c:f>'Search by Gender'!$A$32</c:f>
          <c:strCache>
            <c:ptCount val="1"/>
            <c:pt idx="0">
              <c:v>Holder of Health cards</c:v>
            </c:pt>
          </c:strCache>
        </c:strRef>
      </c:tx>
    </c:title>
    <c:plotArea>
      <c:layout/>
      <c:barChart>
        <c:barDir val="col"/>
        <c:grouping val="clustered"/>
        <c:ser>
          <c:idx val="1"/>
          <c:order val="0"/>
          <c:dLbls>
            <c:showVal val="1"/>
          </c:dLbls>
          <c:cat>
            <c:strRef>
              <c:f>'Search by Gender'!$A$34:$A$42</c:f>
              <c:strCache>
                <c:ptCount val="9"/>
                <c:pt idx="0">
                  <c:v>Medical Card</c:v>
                </c:pt>
                <c:pt idx="1">
                  <c:v>GP Visit Card</c:v>
                </c:pt>
                <c:pt idx="2">
                  <c:v>Long-term Illness Card</c:v>
                </c:pt>
                <c:pt idx="3">
                  <c:v>Health Amendment Act Card</c:v>
                </c:pt>
                <c:pt idx="4">
                  <c:v>European Health Insurance Card</c:v>
                </c:pt>
                <c:pt idx="5">
                  <c:v>Drug Payment Scheme Card</c:v>
                </c:pt>
                <c:pt idx="6">
                  <c:v>Other</c:v>
                </c:pt>
                <c:pt idx="7">
                  <c:v>2 or more of the above cards</c:v>
                </c:pt>
                <c:pt idx="8">
                  <c:v>None of these</c:v>
                </c:pt>
              </c:strCache>
            </c:strRef>
          </c:cat>
          <c:val>
            <c:numRef>
              <c:f>'Search by Gender'!$D$34:$D$42</c:f>
              <c:numCache>
                <c:formatCode>0.0</c:formatCode>
                <c:ptCount val="9"/>
                <c:pt idx="0">
                  <c:v>0</c:v>
                </c:pt>
                <c:pt idx="1">
                  <c:v>0</c:v>
                </c:pt>
                <c:pt idx="2">
                  <c:v>0</c:v>
                </c:pt>
                <c:pt idx="3">
                  <c:v>0</c:v>
                </c:pt>
                <c:pt idx="4">
                  <c:v>0</c:v>
                </c:pt>
                <c:pt idx="5">
                  <c:v>0</c:v>
                </c:pt>
                <c:pt idx="6">
                  <c:v>0</c:v>
                </c:pt>
                <c:pt idx="7">
                  <c:v>0</c:v>
                </c:pt>
                <c:pt idx="8">
                  <c:v>0</c:v>
                </c:pt>
              </c:numCache>
            </c:numRef>
          </c:val>
        </c:ser>
        <c:dLbls/>
        <c:axId val="89477120"/>
        <c:axId val="89478656"/>
      </c:barChart>
      <c:catAx>
        <c:axId val="89477120"/>
        <c:scaling>
          <c:orientation val="minMax"/>
        </c:scaling>
        <c:axPos val="b"/>
        <c:majorTickMark val="none"/>
        <c:tickLblPos val="nextTo"/>
        <c:crossAx val="89478656"/>
        <c:crosses val="autoZero"/>
        <c:auto val="1"/>
        <c:lblAlgn val="ctr"/>
        <c:lblOffset val="100"/>
      </c:catAx>
      <c:valAx>
        <c:axId val="89478656"/>
        <c:scaling>
          <c:orientation val="minMax"/>
          <c:max val="100"/>
        </c:scaling>
        <c:axPos val="l"/>
        <c:majorGridlines/>
        <c:numFmt formatCode="0.0" sourceLinked="1"/>
        <c:majorTickMark val="none"/>
        <c:tickLblPos val="nextTo"/>
        <c:crossAx val="89477120"/>
        <c:crosses val="autoZero"/>
        <c:crossBetween val="between"/>
      </c:valAx>
    </c:plotArea>
    <c:plotVisOnly val="1"/>
    <c:dispBlanksAs val="gap"/>
  </c:chart>
  <c:printSettings>
    <c:headerFooter/>
    <c:pageMargins b="0.75000000000000422" l="0.70000000000000062" r="0.70000000000000062" t="0.75000000000000422" header="0.30000000000000032" footer="0.30000000000000032"/>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lang val="en-IE"/>
  <c:chart>
    <c:title>
      <c:tx>
        <c:strRef>
          <c:f>'Search by Gender'!$A$47</c:f>
          <c:strCache>
            <c:ptCount val="1"/>
            <c:pt idx="0">
              <c:v>Use of Interpreter Services</c:v>
            </c:pt>
          </c:strCache>
        </c:strRef>
      </c:tx>
    </c:title>
    <c:plotArea>
      <c:layout/>
      <c:barChart>
        <c:barDir val="col"/>
        <c:grouping val="clustered"/>
        <c:ser>
          <c:idx val="0"/>
          <c:order val="0"/>
          <c:dLbls>
            <c:showVal val="1"/>
          </c:dLbls>
          <c:cat>
            <c:strRef>
              <c:f>'Search by Gender'!$A$49:$A$51</c:f>
              <c:strCache>
                <c:ptCount val="3"/>
                <c:pt idx="0">
                  <c:v>I did not use an interpreter for my appointment</c:v>
                </c:pt>
                <c:pt idx="1">
                  <c:v>I used a Sign interpreter</c:v>
                </c:pt>
                <c:pt idx="2">
                  <c:v>I used a Language interpreter</c:v>
                </c:pt>
              </c:strCache>
            </c:strRef>
          </c:cat>
          <c:val>
            <c:numRef>
              <c:f>'Search by Gender'!$D$49:$D$51</c:f>
              <c:numCache>
                <c:formatCode>0.0</c:formatCode>
                <c:ptCount val="3"/>
                <c:pt idx="0">
                  <c:v>0</c:v>
                </c:pt>
                <c:pt idx="1">
                  <c:v>0</c:v>
                </c:pt>
                <c:pt idx="2">
                  <c:v>0</c:v>
                </c:pt>
              </c:numCache>
            </c:numRef>
          </c:val>
        </c:ser>
        <c:dLbls/>
        <c:axId val="89511040"/>
        <c:axId val="89512576"/>
      </c:barChart>
      <c:catAx>
        <c:axId val="89511040"/>
        <c:scaling>
          <c:orientation val="minMax"/>
        </c:scaling>
        <c:axPos val="b"/>
        <c:majorTickMark val="none"/>
        <c:tickLblPos val="nextTo"/>
        <c:crossAx val="89512576"/>
        <c:crosses val="autoZero"/>
        <c:auto val="1"/>
        <c:lblAlgn val="ctr"/>
        <c:lblOffset val="100"/>
      </c:catAx>
      <c:valAx>
        <c:axId val="89512576"/>
        <c:scaling>
          <c:orientation val="minMax"/>
          <c:max val="100"/>
        </c:scaling>
        <c:axPos val="l"/>
        <c:majorGridlines/>
        <c:numFmt formatCode="0.0" sourceLinked="1"/>
        <c:majorTickMark val="none"/>
        <c:tickLblPos val="nextTo"/>
        <c:crossAx val="89511040"/>
        <c:crosses val="autoZero"/>
        <c:crossBetween val="between"/>
      </c:valAx>
    </c:plotArea>
    <c:plotVisOnly val="1"/>
    <c:dispBlanksAs val="gap"/>
  </c:chart>
  <c:printSettings>
    <c:headerFooter/>
    <c:pageMargins b="0.75000000000000444" l="0.70000000000000062" r="0.70000000000000062" t="0.750000000000004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IE"/>
  <c:chart>
    <c:title>
      <c:tx>
        <c:rich>
          <a:bodyPr/>
          <a:lstStyle/>
          <a:p>
            <a:pPr>
              <a:defRPr/>
            </a:pPr>
            <a:r>
              <a:rPr lang="en-IE"/>
              <a:t>Use of Interpreter Services</a:t>
            </a:r>
          </a:p>
        </c:rich>
      </c:tx>
    </c:title>
    <c:plotArea>
      <c:layout/>
      <c:barChart>
        <c:barDir val="col"/>
        <c:grouping val="clustered"/>
        <c:ser>
          <c:idx val="0"/>
          <c:order val="0"/>
          <c:dLbls>
            <c:showVal val="1"/>
          </c:dLbls>
          <c:cat>
            <c:strRef>
              <c:f>OverallResults!$A$47:$A$49</c:f>
              <c:strCache>
                <c:ptCount val="3"/>
                <c:pt idx="0">
                  <c:v>I did not use an interpreter for my appointment</c:v>
                </c:pt>
                <c:pt idx="1">
                  <c:v>I used a Sign interpreter</c:v>
                </c:pt>
                <c:pt idx="2">
                  <c:v>I used a Language interpreter</c:v>
                </c:pt>
              </c:strCache>
            </c:strRef>
          </c:cat>
          <c:val>
            <c:numRef>
              <c:f>OverallResults!$D$47:$D$49</c:f>
              <c:numCache>
                <c:formatCode>0.0</c:formatCode>
                <c:ptCount val="3"/>
                <c:pt idx="0">
                  <c:v>0</c:v>
                </c:pt>
                <c:pt idx="1">
                  <c:v>0</c:v>
                </c:pt>
                <c:pt idx="2">
                  <c:v>0</c:v>
                </c:pt>
              </c:numCache>
            </c:numRef>
          </c:val>
        </c:ser>
        <c:dLbls/>
        <c:axId val="79790464"/>
        <c:axId val="79792000"/>
      </c:barChart>
      <c:catAx>
        <c:axId val="79790464"/>
        <c:scaling>
          <c:orientation val="minMax"/>
        </c:scaling>
        <c:axPos val="b"/>
        <c:majorTickMark val="none"/>
        <c:tickLblPos val="nextTo"/>
        <c:crossAx val="79792000"/>
        <c:crosses val="autoZero"/>
        <c:auto val="1"/>
        <c:lblAlgn val="ctr"/>
        <c:lblOffset val="100"/>
      </c:catAx>
      <c:valAx>
        <c:axId val="79792000"/>
        <c:scaling>
          <c:orientation val="minMax"/>
          <c:max val="100"/>
        </c:scaling>
        <c:axPos val="l"/>
        <c:majorGridlines/>
        <c:numFmt formatCode="0.0" sourceLinked="1"/>
        <c:majorTickMark val="none"/>
        <c:tickLblPos val="nextTo"/>
        <c:crossAx val="79790464"/>
        <c:crosses val="autoZero"/>
        <c:crossBetween val="between"/>
      </c:valAx>
    </c:plotArea>
    <c:plotVisOnly val="1"/>
    <c:dispBlanksAs val="gap"/>
  </c:chart>
  <c:printSettings>
    <c:headerFooter/>
    <c:pageMargins b="0.750000000000004" l="0.70000000000000062" r="0.70000000000000062" t="0.750000000000004" header="0.30000000000000032" footer="0.30000000000000032"/>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lang val="en-IE"/>
  <c:chart>
    <c:title>
      <c:tx>
        <c:strRef>
          <c:f>'Search by Gender'!$A$56</c:f>
          <c:strCache>
            <c:ptCount val="1"/>
            <c:pt idx="0">
              <c:v>Patients Country of Origin.</c:v>
            </c:pt>
          </c:strCache>
        </c:strRef>
      </c:tx>
    </c:title>
    <c:plotArea>
      <c:layout/>
      <c:barChart>
        <c:barDir val="col"/>
        <c:grouping val="clustered"/>
        <c:ser>
          <c:idx val="1"/>
          <c:order val="0"/>
          <c:dLbls>
            <c:showVal val="1"/>
          </c:dLbls>
          <c:cat>
            <c:strRef>
              <c:f>'Search by Gender'!$A$58:$A$62</c:f>
              <c:strCache>
                <c:ptCount val="5"/>
                <c:pt idx="0">
                  <c:v>Ireland</c:v>
                </c:pt>
                <c:pt idx="1">
                  <c:v>United Kingdom</c:v>
                </c:pt>
                <c:pt idx="2">
                  <c:v>EU</c:v>
                </c:pt>
                <c:pt idx="3">
                  <c:v>Non-EU</c:v>
                </c:pt>
                <c:pt idx="4">
                  <c:v>Other</c:v>
                </c:pt>
              </c:strCache>
            </c:strRef>
          </c:cat>
          <c:val>
            <c:numRef>
              <c:f>'Search by Gender'!$D$58:$D$62</c:f>
              <c:numCache>
                <c:formatCode>0.0</c:formatCode>
                <c:ptCount val="5"/>
                <c:pt idx="0">
                  <c:v>0</c:v>
                </c:pt>
                <c:pt idx="1">
                  <c:v>0</c:v>
                </c:pt>
                <c:pt idx="2">
                  <c:v>0</c:v>
                </c:pt>
                <c:pt idx="3">
                  <c:v>0</c:v>
                </c:pt>
                <c:pt idx="4">
                  <c:v>0</c:v>
                </c:pt>
              </c:numCache>
            </c:numRef>
          </c:val>
        </c:ser>
        <c:dLbls/>
        <c:axId val="89618688"/>
        <c:axId val="89624576"/>
      </c:barChart>
      <c:catAx>
        <c:axId val="89618688"/>
        <c:scaling>
          <c:orientation val="minMax"/>
        </c:scaling>
        <c:axPos val="b"/>
        <c:majorTickMark val="none"/>
        <c:tickLblPos val="nextTo"/>
        <c:crossAx val="89624576"/>
        <c:crosses val="autoZero"/>
        <c:auto val="1"/>
        <c:lblAlgn val="ctr"/>
        <c:lblOffset val="100"/>
      </c:catAx>
      <c:valAx>
        <c:axId val="89624576"/>
        <c:scaling>
          <c:orientation val="minMax"/>
          <c:max val="100"/>
        </c:scaling>
        <c:axPos val="l"/>
        <c:majorGridlines/>
        <c:numFmt formatCode="0.0" sourceLinked="1"/>
        <c:majorTickMark val="none"/>
        <c:tickLblPos val="nextTo"/>
        <c:crossAx val="89618688"/>
        <c:crosses val="autoZero"/>
        <c:crossBetween val="between"/>
      </c:valAx>
    </c:plotArea>
    <c:plotVisOnly val="1"/>
    <c:dispBlanksAs val="gap"/>
  </c:chart>
  <c:printSettings>
    <c:headerFooter/>
    <c:pageMargins b="0.75000000000000466" l="0.70000000000000062" r="0.70000000000000062" t="0.75000000000000466" header="0.30000000000000032" footer="0.30000000000000032"/>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lang val="en-IE"/>
  <c:chart>
    <c:title>
      <c:tx>
        <c:strRef>
          <c:f>'Search by Gender'!$A$67</c:f>
          <c:strCache>
            <c:ptCount val="1"/>
            <c:pt idx="0">
              <c:v>Primary Care Team services attended on day of survey</c:v>
            </c:pt>
          </c:strCache>
        </c:strRef>
      </c:tx>
    </c:title>
    <c:plotArea>
      <c:layout/>
      <c:barChart>
        <c:barDir val="col"/>
        <c:grouping val="clustered"/>
        <c:ser>
          <c:idx val="0"/>
          <c:order val="0"/>
          <c:dLbls>
            <c:showVal val="1"/>
          </c:dLbls>
          <c:cat>
            <c:strRef>
              <c:f>'Search by Gender'!$A$69:$A$85</c:f>
              <c:strCache>
                <c:ptCount val="17"/>
                <c:pt idx="0">
                  <c:v>GP</c:v>
                </c:pt>
                <c:pt idx="1">
                  <c:v>Practice Nurse</c:v>
                </c:pt>
                <c:pt idx="2">
                  <c:v>Public Health Nurse or Community Nurse</c:v>
                </c:pt>
                <c:pt idx="3">
                  <c:v>Physiotherapist</c:v>
                </c:pt>
                <c:pt idx="4">
                  <c:v>Occupational Therapist</c:v>
                </c:pt>
                <c:pt idx="5">
                  <c:v>SLT</c:v>
                </c:pt>
                <c:pt idx="6">
                  <c:v>Dentist</c:v>
                </c:pt>
                <c:pt idx="7">
                  <c:v>Dental Hygienist/ Nurse</c:v>
                </c:pt>
                <c:pt idx="8">
                  <c:v>Podiatrist/ Chiropodist</c:v>
                </c:pt>
                <c:pt idx="9">
                  <c:v>Dietician</c:v>
                </c:pt>
                <c:pt idx="10">
                  <c:v>Psychology</c:v>
                </c:pt>
                <c:pt idx="11">
                  <c:v>Orthodontic</c:v>
                </c:pt>
                <c:pt idx="12">
                  <c:v>Social Work</c:v>
                </c:pt>
                <c:pt idx="13">
                  <c:v>Ophthalmic</c:v>
                </c:pt>
                <c:pt idx="14">
                  <c:v>Audiology</c:v>
                </c:pt>
                <c:pt idx="15">
                  <c:v>Another service</c:v>
                </c:pt>
                <c:pt idx="16">
                  <c:v>Attended more than one service</c:v>
                </c:pt>
              </c:strCache>
            </c:strRef>
          </c:cat>
          <c:val>
            <c:numRef>
              <c:f>'Search by Gender'!$D$69:$D$85</c:f>
              <c:numCache>
                <c:formatCode>0.0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ser>
        <c:dLbls/>
        <c:axId val="89648512"/>
        <c:axId val="89658496"/>
      </c:barChart>
      <c:catAx>
        <c:axId val="89648512"/>
        <c:scaling>
          <c:orientation val="minMax"/>
        </c:scaling>
        <c:axPos val="b"/>
        <c:majorTickMark val="none"/>
        <c:tickLblPos val="nextTo"/>
        <c:crossAx val="89658496"/>
        <c:crosses val="autoZero"/>
        <c:auto val="1"/>
        <c:lblAlgn val="ctr"/>
        <c:lblOffset val="100"/>
      </c:catAx>
      <c:valAx>
        <c:axId val="89658496"/>
        <c:scaling>
          <c:orientation val="minMax"/>
          <c:max val="100"/>
        </c:scaling>
        <c:axPos val="l"/>
        <c:majorGridlines/>
        <c:numFmt formatCode="0.0" sourceLinked="1"/>
        <c:majorTickMark val="none"/>
        <c:tickLblPos val="nextTo"/>
        <c:crossAx val="89648512"/>
        <c:crosses val="autoZero"/>
        <c:crossBetween val="between"/>
      </c:valAx>
    </c:plotArea>
    <c:plotVisOnly val="1"/>
    <c:dispBlanksAs val="gap"/>
  </c:chart>
  <c:printSettings>
    <c:headerFooter/>
    <c:pageMargins b="0.75000000000000488" l="0.70000000000000062" r="0.70000000000000062" t="0.75000000000000488" header="0.30000000000000032" footer="0.30000000000000032"/>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lang val="en-IE"/>
  <c:chart>
    <c:title>
      <c:tx>
        <c:strRef>
          <c:f>'Search by Gender'!$A$90</c:f>
          <c:strCache>
            <c:ptCount val="1"/>
            <c:pt idx="0">
              <c:v>Patient's experience of accessing the service</c:v>
            </c:pt>
          </c:strCache>
        </c:strRef>
      </c:tx>
    </c:title>
    <c:plotArea>
      <c:layout/>
      <c:barChart>
        <c:barDir val="col"/>
        <c:grouping val="clustered"/>
        <c:ser>
          <c:idx val="1"/>
          <c:order val="0"/>
          <c:dLbls>
            <c:showVal val="1"/>
          </c:dLbls>
          <c:cat>
            <c:strRef>
              <c:f>'Search by Gender'!$A$92:$A$98</c:f>
              <c:strCache>
                <c:ptCount val="7"/>
                <c:pt idx="0">
                  <c:v>I had no difficulties accessing the service.</c:v>
                </c:pt>
                <c:pt idx="1">
                  <c:v>The opening times were not suitable.</c:v>
                </c:pt>
                <c:pt idx="2">
                  <c:v>The waiting times for an appointment were too long.</c:v>
                </c:pt>
                <c:pt idx="3">
                  <c:v>The service I needed had not been available within the primary care team until now.</c:v>
                </c:pt>
                <c:pt idx="4">
                  <c:v>I could only get a referral to the service through another service.</c:v>
                </c:pt>
                <c:pt idx="5">
                  <c:v>Other difficulty</c:v>
                </c:pt>
                <c:pt idx="6">
                  <c:v>More than one difficulty</c:v>
                </c:pt>
              </c:strCache>
            </c:strRef>
          </c:cat>
          <c:val>
            <c:numRef>
              <c:f>'Search by Gender'!$D$92:$D$98</c:f>
              <c:numCache>
                <c:formatCode>0.0</c:formatCode>
                <c:ptCount val="7"/>
                <c:pt idx="0">
                  <c:v>0</c:v>
                </c:pt>
                <c:pt idx="1">
                  <c:v>0</c:v>
                </c:pt>
                <c:pt idx="2">
                  <c:v>0</c:v>
                </c:pt>
                <c:pt idx="3">
                  <c:v>0</c:v>
                </c:pt>
                <c:pt idx="4">
                  <c:v>0</c:v>
                </c:pt>
                <c:pt idx="5">
                  <c:v>0</c:v>
                </c:pt>
                <c:pt idx="6">
                  <c:v>0</c:v>
                </c:pt>
              </c:numCache>
            </c:numRef>
          </c:val>
        </c:ser>
        <c:dLbls/>
        <c:axId val="89704320"/>
        <c:axId val="89705856"/>
      </c:barChart>
      <c:catAx>
        <c:axId val="89704320"/>
        <c:scaling>
          <c:orientation val="minMax"/>
        </c:scaling>
        <c:axPos val="b"/>
        <c:majorTickMark val="none"/>
        <c:tickLblPos val="nextTo"/>
        <c:txPr>
          <a:bodyPr/>
          <a:lstStyle/>
          <a:p>
            <a:pPr>
              <a:defRPr sz="800"/>
            </a:pPr>
            <a:endParaRPr lang="en-US"/>
          </a:p>
        </c:txPr>
        <c:crossAx val="89705856"/>
        <c:crosses val="autoZero"/>
        <c:auto val="1"/>
        <c:lblAlgn val="ctr"/>
        <c:lblOffset val="100"/>
      </c:catAx>
      <c:valAx>
        <c:axId val="89705856"/>
        <c:scaling>
          <c:orientation val="minMax"/>
          <c:max val="100"/>
        </c:scaling>
        <c:axPos val="l"/>
        <c:majorGridlines/>
        <c:numFmt formatCode="0.0" sourceLinked="1"/>
        <c:majorTickMark val="none"/>
        <c:tickLblPos val="nextTo"/>
        <c:crossAx val="89704320"/>
        <c:crosses val="autoZero"/>
        <c:crossBetween val="between"/>
      </c:valAx>
    </c:plotArea>
    <c:plotVisOnly val="1"/>
    <c:dispBlanksAs val="gap"/>
  </c:chart>
  <c:printSettings>
    <c:headerFooter/>
    <c:pageMargins b="0.75000000000000511" l="0.70000000000000062" r="0.70000000000000062" t="0.75000000000000511" header="0.30000000000000032" footer="0.30000000000000032"/>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lang val="en-IE"/>
  <c:chart>
    <c:title>
      <c:tx>
        <c:strRef>
          <c:f>'Search by Gender'!$A$103</c:f>
          <c:strCache>
            <c:ptCount val="1"/>
            <c:pt idx="0">
              <c:v>Place of patient's appointment</c:v>
            </c:pt>
          </c:strCache>
        </c:strRef>
      </c:tx>
    </c:title>
    <c:plotArea>
      <c:layout/>
      <c:barChart>
        <c:barDir val="col"/>
        <c:grouping val="clustered"/>
        <c:ser>
          <c:idx val="0"/>
          <c:order val="0"/>
          <c:dLbls>
            <c:showVal val="1"/>
          </c:dLbls>
          <c:cat>
            <c:strRef>
              <c:f>'Search by Gender'!$A$105:$A$108</c:f>
              <c:strCache>
                <c:ptCount val="4"/>
                <c:pt idx="0">
                  <c:v>Primary Care Health Centre</c:v>
                </c:pt>
                <c:pt idx="1">
                  <c:v>GP Surgery</c:v>
                </c:pt>
                <c:pt idx="2">
                  <c:v>Patient's Home</c:v>
                </c:pt>
                <c:pt idx="3">
                  <c:v>Another location</c:v>
                </c:pt>
              </c:strCache>
            </c:strRef>
          </c:cat>
          <c:val>
            <c:numRef>
              <c:f>'Search by Gender'!$D$105:$D$108</c:f>
              <c:numCache>
                <c:formatCode>0.0</c:formatCode>
                <c:ptCount val="4"/>
                <c:pt idx="0">
                  <c:v>0</c:v>
                </c:pt>
                <c:pt idx="1">
                  <c:v>0</c:v>
                </c:pt>
                <c:pt idx="2">
                  <c:v>0</c:v>
                </c:pt>
                <c:pt idx="3">
                  <c:v>0</c:v>
                </c:pt>
              </c:numCache>
            </c:numRef>
          </c:val>
        </c:ser>
        <c:dLbls/>
        <c:axId val="89742336"/>
        <c:axId val="89748224"/>
      </c:barChart>
      <c:catAx>
        <c:axId val="89742336"/>
        <c:scaling>
          <c:orientation val="minMax"/>
        </c:scaling>
        <c:axPos val="b"/>
        <c:majorTickMark val="none"/>
        <c:tickLblPos val="nextTo"/>
        <c:crossAx val="89748224"/>
        <c:crosses val="autoZero"/>
        <c:auto val="1"/>
        <c:lblAlgn val="ctr"/>
        <c:lblOffset val="100"/>
      </c:catAx>
      <c:valAx>
        <c:axId val="89748224"/>
        <c:scaling>
          <c:orientation val="minMax"/>
          <c:max val="100"/>
        </c:scaling>
        <c:axPos val="l"/>
        <c:majorGridlines/>
        <c:numFmt formatCode="0.0" sourceLinked="1"/>
        <c:majorTickMark val="none"/>
        <c:tickLblPos val="nextTo"/>
        <c:crossAx val="89742336"/>
        <c:crosses val="autoZero"/>
        <c:crossBetween val="between"/>
      </c:valAx>
    </c:plotArea>
    <c:plotVisOnly val="1"/>
    <c:dispBlanksAs val="gap"/>
  </c:chart>
  <c:txPr>
    <a:bodyPr/>
    <a:lstStyle/>
    <a:p>
      <a:pPr>
        <a:defRPr b="1"/>
      </a:pPr>
      <a:endParaRPr lang="en-US"/>
    </a:p>
  </c:txPr>
  <c:printSettings>
    <c:headerFooter/>
    <c:pageMargins b="0.75000000000000533" l="0.70000000000000062" r="0.70000000000000062" t="0.75000000000000533" header="0.30000000000000032" footer="0.30000000000000032"/>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lang val="en-IE"/>
  <c:chart>
    <c:title>
      <c:tx>
        <c:strRef>
          <c:f>'Search by Gender'!$A$113</c:f>
          <c:strCache>
            <c:ptCount val="1"/>
            <c:pt idx="0">
              <c:v>Suitability of appointment time</c:v>
            </c:pt>
          </c:strCache>
        </c:strRef>
      </c:tx>
    </c:title>
    <c:plotArea>
      <c:layout/>
      <c:barChart>
        <c:barDir val="col"/>
        <c:grouping val="clustered"/>
        <c:ser>
          <c:idx val="1"/>
          <c:order val="0"/>
          <c:dLbls>
            <c:showVal val="1"/>
          </c:dLbls>
          <c:cat>
            <c:strRef>
              <c:f>'Search by Gender'!$A$115:$A$119</c:f>
              <c:strCache>
                <c:ptCount val="5"/>
                <c:pt idx="0">
                  <c:v>The appointment time given to me was most suitable.</c:v>
                </c:pt>
                <c:pt idx="1">
                  <c:v>I would have preferred an appointment time before 9am.</c:v>
                </c:pt>
                <c:pt idx="2">
                  <c:v>I would have preferred an appointment time from 12pm-1pm.</c:v>
                </c:pt>
                <c:pt idx="3">
                  <c:v>I would have preferred an appointment time from 1pm-2pm.</c:v>
                </c:pt>
                <c:pt idx="4">
                  <c:v>I would have preferred an appointment time after 5pm.</c:v>
                </c:pt>
              </c:strCache>
            </c:strRef>
          </c:cat>
          <c:val>
            <c:numRef>
              <c:f>'Search by Gender'!$D$115:$D$119</c:f>
              <c:numCache>
                <c:formatCode>0.0</c:formatCode>
                <c:ptCount val="5"/>
                <c:pt idx="0">
                  <c:v>0</c:v>
                </c:pt>
                <c:pt idx="1">
                  <c:v>0</c:v>
                </c:pt>
                <c:pt idx="2">
                  <c:v>0</c:v>
                </c:pt>
                <c:pt idx="3">
                  <c:v>0</c:v>
                </c:pt>
                <c:pt idx="4">
                  <c:v>0</c:v>
                </c:pt>
              </c:numCache>
            </c:numRef>
          </c:val>
        </c:ser>
        <c:dLbls/>
        <c:axId val="89754624"/>
        <c:axId val="89768704"/>
      </c:barChart>
      <c:catAx>
        <c:axId val="89754624"/>
        <c:scaling>
          <c:orientation val="minMax"/>
        </c:scaling>
        <c:axPos val="b"/>
        <c:majorTickMark val="none"/>
        <c:tickLblPos val="nextTo"/>
        <c:crossAx val="89768704"/>
        <c:crosses val="autoZero"/>
        <c:auto val="1"/>
        <c:lblAlgn val="ctr"/>
        <c:lblOffset val="100"/>
      </c:catAx>
      <c:valAx>
        <c:axId val="89768704"/>
        <c:scaling>
          <c:orientation val="minMax"/>
          <c:max val="100"/>
        </c:scaling>
        <c:axPos val="l"/>
        <c:majorGridlines/>
        <c:numFmt formatCode="0.0" sourceLinked="1"/>
        <c:majorTickMark val="none"/>
        <c:tickLblPos val="nextTo"/>
        <c:crossAx val="89754624"/>
        <c:crosses val="autoZero"/>
        <c:crossBetween val="between"/>
      </c:valAx>
    </c:plotArea>
    <c:plotVisOnly val="1"/>
    <c:dispBlanksAs val="gap"/>
  </c:chart>
  <c:printSettings>
    <c:headerFooter/>
    <c:pageMargins b="0.75000000000000555" l="0.70000000000000062" r="0.70000000000000062" t="0.75000000000000555" header="0.30000000000000032" footer="0.30000000000000032"/>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lang val="en-IE"/>
  <c:chart>
    <c:title>
      <c:tx>
        <c:strRef>
          <c:f>'Search by Gender'!$A$124</c:f>
          <c:strCache>
            <c:ptCount val="1"/>
            <c:pt idx="0">
              <c:v>Ease of access and use of the building during visit</c:v>
            </c:pt>
          </c:strCache>
        </c:strRef>
      </c:tx>
    </c:title>
    <c:plotArea>
      <c:layout/>
      <c:barChart>
        <c:barDir val="col"/>
        <c:grouping val="clustered"/>
        <c:ser>
          <c:idx val="0"/>
          <c:order val="0"/>
          <c:dLbls>
            <c:showVal val="1"/>
          </c:dLbls>
          <c:cat>
            <c:strRef>
              <c:f>'Search by Gender'!$A$126:$A$129</c:f>
              <c:strCache>
                <c:ptCount val="4"/>
                <c:pt idx="0">
                  <c:v>Very easy</c:v>
                </c:pt>
                <c:pt idx="1">
                  <c:v>Easy</c:v>
                </c:pt>
                <c:pt idx="2">
                  <c:v>Difficult</c:v>
                </c:pt>
                <c:pt idx="3">
                  <c:v>Very difficult</c:v>
                </c:pt>
              </c:strCache>
            </c:strRef>
          </c:cat>
          <c:val>
            <c:numRef>
              <c:f>'Search by Gender'!$D$126:$D$129</c:f>
              <c:numCache>
                <c:formatCode>0.0</c:formatCode>
                <c:ptCount val="4"/>
                <c:pt idx="0">
                  <c:v>0</c:v>
                </c:pt>
                <c:pt idx="1">
                  <c:v>0</c:v>
                </c:pt>
                <c:pt idx="2">
                  <c:v>0</c:v>
                </c:pt>
                <c:pt idx="3">
                  <c:v>0</c:v>
                </c:pt>
              </c:numCache>
            </c:numRef>
          </c:val>
        </c:ser>
        <c:dLbls/>
        <c:axId val="89792896"/>
        <c:axId val="89794432"/>
      </c:barChart>
      <c:catAx>
        <c:axId val="89792896"/>
        <c:scaling>
          <c:orientation val="minMax"/>
        </c:scaling>
        <c:axPos val="b"/>
        <c:majorTickMark val="none"/>
        <c:tickLblPos val="nextTo"/>
        <c:crossAx val="89794432"/>
        <c:crosses val="autoZero"/>
        <c:auto val="1"/>
        <c:lblAlgn val="ctr"/>
        <c:lblOffset val="100"/>
      </c:catAx>
      <c:valAx>
        <c:axId val="89794432"/>
        <c:scaling>
          <c:orientation val="minMax"/>
          <c:max val="100"/>
        </c:scaling>
        <c:axPos val="l"/>
        <c:majorGridlines/>
        <c:numFmt formatCode="0.0" sourceLinked="1"/>
        <c:majorTickMark val="none"/>
        <c:tickLblPos val="nextTo"/>
        <c:crossAx val="89792896"/>
        <c:crosses val="autoZero"/>
        <c:crossBetween val="between"/>
      </c:valAx>
    </c:plotArea>
    <c:plotVisOnly val="1"/>
    <c:dispBlanksAs val="gap"/>
  </c:chart>
  <c:printSettings>
    <c:headerFooter/>
    <c:pageMargins b="0.75000000000000577" l="0.70000000000000062" r="0.70000000000000062" t="0.75000000000000577" header="0.30000000000000032" footer="0.30000000000000032"/>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lang val="en-IE"/>
  <c:chart>
    <c:title>
      <c:tx>
        <c:strRef>
          <c:f>'Search by Gender'!$A$135</c:f>
          <c:strCache>
            <c:ptCount val="1"/>
            <c:pt idx="0">
              <c:v>Buildings and facilities cleanliness and tidiness</c:v>
            </c:pt>
          </c:strCache>
        </c:strRef>
      </c:tx>
    </c:title>
    <c:plotArea>
      <c:layout/>
      <c:barChart>
        <c:barDir val="col"/>
        <c:grouping val="clustered"/>
        <c:ser>
          <c:idx val="0"/>
          <c:order val="0"/>
          <c:dLbls>
            <c:showVal val="1"/>
          </c:dLbls>
          <c:cat>
            <c:strRef>
              <c:f>'Search by Gender'!$A$137:$A$138</c:f>
              <c:strCache>
                <c:ptCount val="2"/>
                <c:pt idx="0">
                  <c:v>Yes</c:v>
                </c:pt>
                <c:pt idx="1">
                  <c:v>No</c:v>
                </c:pt>
              </c:strCache>
            </c:strRef>
          </c:cat>
          <c:val>
            <c:numRef>
              <c:f>'Search by Gender'!$D$137:$D$138</c:f>
              <c:numCache>
                <c:formatCode>0.0</c:formatCode>
                <c:ptCount val="2"/>
                <c:pt idx="0">
                  <c:v>0</c:v>
                </c:pt>
                <c:pt idx="1">
                  <c:v>0</c:v>
                </c:pt>
              </c:numCache>
            </c:numRef>
          </c:val>
        </c:ser>
        <c:dLbls/>
        <c:axId val="89835008"/>
        <c:axId val="89836544"/>
      </c:barChart>
      <c:catAx>
        <c:axId val="89835008"/>
        <c:scaling>
          <c:orientation val="minMax"/>
        </c:scaling>
        <c:axPos val="b"/>
        <c:majorTickMark val="none"/>
        <c:tickLblPos val="nextTo"/>
        <c:crossAx val="89836544"/>
        <c:crosses val="autoZero"/>
        <c:auto val="1"/>
        <c:lblAlgn val="ctr"/>
        <c:lblOffset val="100"/>
      </c:catAx>
      <c:valAx>
        <c:axId val="89836544"/>
        <c:scaling>
          <c:orientation val="minMax"/>
          <c:max val="100"/>
        </c:scaling>
        <c:axPos val="l"/>
        <c:majorGridlines/>
        <c:numFmt formatCode="0.0" sourceLinked="1"/>
        <c:majorTickMark val="none"/>
        <c:tickLblPos val="nextTo"/>
        <c:crossAx val="89835008"/>
        <c:crosses val="autoZero"/>
        <c:crossBetween val="between"/>
      </c:valAx>
    </c:plotArea>
    <c:plotVisOnly val="1"/>
    <c:dispBlanksAs val="gap"/>
  </c:chart>
  <c:printSettings>
    <c:headerFooter/>
    <c:pageMargins b="0.750000000000006" l="0.70000000000000062" r="0.70000000000000062" t="0.750000000000006" header="0.30000000000000032" footer="0.30000000000000032"/>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lang val="en-IE"/>
  <c:chart>
    <c:title>
      <c:tx>
        <c:strRef>
          <c:f>'Search by Gender'!$A$144</c:f>
          <c:strCache>
            <c:ptCount val="1"/>
            <c:pt idx="0">
              <c:v>Time waiting to see the healthcare professional on day of survey</c:v>
            </c:pt>
          </c:strCache>
        </c:strRef>
      </c:tx>
    </c:title>
    <c:plotArea>
      <c:layout/>
      <c:barChart>
        <c:barDir val="col"/>
        <c:grouping val="clustered"/>
        <c:ser>
          <c:idx val="0"/>
          <c:order val="0"/>
          <c:dLbls>
            <c:showVal val="1"/>
          </c:dLbls>
          <c:cat>
            <c:strRef>
              <c:f>'Search by Gender'!$A$146:$A$149</c:f>
              <c:strCache>
                <c:ptCount val="4"/>
                <c:pt idx="0">
                  <c:v>Less than 15 minutes</c:v>
                </c:pt>
                <c:pt idx="1">
                  <c:v>15 to 30 minutes</c:v>
                </c:pt>
                <c:pt idx="2">
                  <c:v>31 to 45 minutes</c:v>
                </c:pt>
                <c:pt idx="3">
                  <c:v>Over 45 minutes</c:v>
                </c:pt>
              </c:strCache>
            </c:strRef>
          </c:cat>
          <c:val>
            <c:numRef>
              <c:f>'Search by Gender'!$D$146:$D$149</c:f>
              <c:numCache>
                <c:formatCode>0.0</c:formatCode>
                <c:ptCount val="4"/>
                <c:pt idx="0">
                  <c:v>0</c:v>
                </c:pt>
                <c:pt idx="1">
                  <c:v>0</c:v>
                </c:pt>
                <c:pt idx="2">
                  <c:v>0</c:v>
                </c:pt>
                <c:pt idx="3">
                  <c:v>0</c:v>
                </c:pt>
              </c:numCache>
            </c:numRef>
          </c:val>
        </c:ser>
        <c:dLbls/>
        <c:axId val="89922176"/>
        <c:axId val="89940352"/>
      </c:barChart>
      <c:catAx>
        <c:axId val="89922176"/>
        <c:scaling>
          <c:orientation val="minMax"/>
        </c:scaling>
        <c:axPos val="b"/>
        <c:majorTickMark val="none"/>
        <c:tickLblPos val="nextTo"/>
        <c:crossAx val="89940352"/>
        <c:crosses val="autoZero"/>
        <c:auto val="1"/>
        <c:lblAlgn val="ctr"/>
        <c:lblOffset val="100"/>
      </c:catAx>
      <c:valAx>
        <c:axId val="89940352"/>
        <c:scaling>
          <c:orientation val="minMax"/>
          <c:max val="100"/>
        </c:scaling>
        <c:axPos val="l"/>
        <c:majorGridlines/>
        <c:numFmt formatCode="0.0" sourceLinked="1"/>
        <c:majorTickMark val="none"/>
        <c:tickLblPos val="nextTo"/>
        <c:crossAx val="89922176"/>
        <c:crosses val="autoZero"/>
        <c:crossBetween val="between"/>
      </c:valAx>
    </c:plotArea>
    <c:plotVisOnly val="1"/>
    <c:dispBlanksAs val="gap"/>
  </c:chart>
  <c:printSettings>
    <c:headerFooter/>
    <c:pageMargins b="0.75000000000000622" l="0.70000000000000062" r="0.70000000000000062" t="0.75000000000000622" header="0.30000000000000032" footer="0.30000000000000032"/>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lang val="en-IE"/>
  <c:chart>
    <c:title>
      <c:tx>
        <c:strRef>
          <c:f>'Search by Gender'!$A$154</c:f>
          <c:strCache>
            <c:ptCount val="1"/>
            <c:pt idx="0">
              <c:v>Healthcare professional washed or cleaned their hands prior to patient contact</c:v>
            </c:pt>
          </c:strCache>
        </c:strRef>
      </c:tx>
    </c:title>
    <c:plotArea>
      <c:layout/>
      <c:barChart>
        <c:barDir val="col"/>
        <c:grouping val="clustered"/>
        <c:ser>
          <c:idx val="0"/>
          <c:order val="0"/>
          <c:dLbls>
            <c:showVal val="1"/>
          </c:dLbls>
          <c:cat>
            <c:strRef>
              <c:f>'Search by Gender'!$A$156:$A$158</c:f>
              <c:strCache>
                <c:ptCount val="3"/>
                <c:pt idx="0">
                  <c:v>Yes</c:v>
                </c:pt>
                <c:pt idx="1">
                  <c:v>No</c:v>
                </c:pt>
                <c:pt idx="2">
                  <c:v>Can't recall</c:v>
                </c:pt>
              </c:strCache>
            </c:strRef>
          </c:cat>
          <c:val>
            <c:numRef>
              <c:f>'Search by Gender'!$D$156:$D$158</c:f>
              <c:numCache>
                <c:formatCode>0.0</c:formatCode>
                <c:ptCount val="3"/>
                <c:pt idx="0">
                  <c:v>0</c:v>
                </c:pt>
                <c:pt idx="1">
                  <c:v>0</c:v>
                </c:pt>
                <c:pt idx="2">
                  <c:v>0</c:v>
                </c:pt>
              </c:numCache>
            </c:numRef>
          </c:val>
        </c:ser>
        <c:dLbls/>
        <c:axId val="91033600"/>
        <c:axId val="91035136"/>
      </c:barChart>
      <c:catAx>
        <c:axId val="91033600"/>
        <c:scaling>
          <c:orientation val="minMax"/>
        </c:scaling>
        <c:axPos val="b"/>
        <c:majorTickMark val="none"/>
        <c:tickLblPos val="nextTo"/>
        <c:crossAx val="91035136"/>
        <c:crosses val="autoZero"/>
        <c:auto val="1"/>
        <c:lblAlgn val="ctr"/>
        <c:lblOffset val="100"/>
      </c:catAx>
      <c:valAx>
        <c:axId val="91035136"/>
        <c:scaling>
          <c:orientation val="minMax"/>
          <c:max val="100"/>
        </c:scaling>
        <c:axPos val="l"/>
        <c:majorGridlines/>
        <c:numFmt formatCode="0.0" sourceLinked="1"/>
        <c:majorTickMark val="none"/>
        <c:tickLblPos val="nextTo"/>
        <c:crossAx val="91033600"/>
        <c:crosses val="autoZero"/>
        <c:crossBetween val="between"/>
      </c:valAx>
    </c:plotArea>
    <c:plotVisOnly val="1"/>
    <c:dispBlanksAs val="gap"/>
  </c:chart>
  <c:printSettings>
    <c:headerFooter/>
    <c:pageMargins b="0.75000000000000644" l="0.70000000000000062" r="0.70000000000000062" t="0.75000000000000644" header="0.30000000000000032" footer="0.30000000000000032"/>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lang val="en-IE"/>
  <c:chart>
    <c:title>
      <c:tx>
        <c:strRef>
          <c:f>'Search by Gender'!$A$163</c:f>
          <c:strCache>
            <c:ptCount val="1"/>
            <c:pt idx="0">
              <c:v>Healthcare professional introduced themselves to patient</c:v>
            </c:pt>
          </c:strCache>
        </c:strRef>
      </c:tx>
    </c:title>
    <c:plotArea>
      <c:layout/>
      <c:barChart>
        <c:barDir val="col"/>
        <c:grouping val="clustered"/>
        <c:ser>
          <c:idx val="0"/>
          <c:order val="0"/>
          <c:dLbls>
            <c:showVal val="1"/>
          </c:dLbls>
          <c:cat>
            <c:strRef>
              <c:f>'Search by Gender'!$A$165:$A$167</c:f>
              <c:strCache>
                <c:ptCount val="3"/>
                <c:pt idx="0">
                  <c:v>Yes</c:v>
                </c:pt>
                <c:pt idx="1">
                  <c:v>No</c:v>
                </c:pt>
                <c:pt idx="2">
                  <c:v>Already known to me</c:v>
                </c:pt>
              </c:strCache>
            </c:strRef>
          </c:cat>
          <c:val>
            <c:numRef>
              <c:f>'Search by Gender'!$D$165:$D$167</c:f>
              <c:numCache>
                <c:formatCode>0.0</c:formatCode>
                <c:ptCount val="3"/>
                <c:pt idx="0">
                  <c:v>0</c:v>
                </c:pt>
                <c:pt idx="1">
                  <c:v>0</c:v>
                </c:pt>
                <c:pt idx="2">
                  <c:v>0</c:v>
                </c:pt>
              </c:numCache>
            </c:numRef>
          </c:val>
        </c:ser>
        <c:dLbls/>
        <c:axId val="91067520"/>
        <c:axId val="91069056"/>
      </c:barChart>
      <c:catAx>
        <c:axId val="91067520"/>
        <c:scaling>
          <c:orientation val="minMax"/>
        </c:scaling>
        <c:axPos val="b"/>
        <c:majorTickMark val="none"/>
        <c:tickLblPos val="nextTo"/>
        <c:crossAx val="91069056"/>
        <c:crosses val="autoZero"/>
        <c:auto val="1"/>
        <c:lblAlgn val="ctr"/>
        <c:lblOffset val="100"/>
      </c:catAx>
      <c:valAx>
        <c:axId val="91069056"/>
        <c:scaling>
          <c:orientation val="minMax"/>
          <c:max val="100"/>
        </c:scaling>
        <c:axPos val="l"/>
        <c:majorGridlines/>
        <c:numFmt formatCode="0.0" sourceLinked="1"/>
        <c:majorTickMark val="none"/>
        <c:tickLblPos val="nextTo"/>
        <c:crossAx val="91067520"/>
        <c:crosses val="autoZero"/>
        <c:crossBetween val="between"/>
      </c:valAx>
    </c:plotArea>
    <c:plotVisOnly val="1"/>
    <c:dispBlanksAs val="gap"/>
  </c:chart>
  <c:printSettings>
    <c:headerFooter/>
    <c:pageMargins b="0.75000000000000666" l="0.70000000000000062" r="0.70000000000000062" t="0.750000000000006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IE"/>
  <c:chart>
    <c:title>
      <c:tx>
        <c:rich>
          <a:bodyPr/>
          <a:lstStyle/>
          <a:p>
            <a:pPr>
              <a:defRPr/>
            </a:pPr>
            <a:r>
              <a:rPr lang="en-IE"/>
              <a:t>Patients Country of Origin.</a:t>
            </a:r>
          </a:p>
        </c:rich>
      </c:tx>
    </c:title>
    <c:plotArea>
      <c:layout/>
      <c:barChart>
        <c:barDir val="col"/>
        <c:grouping val="clustered"/>
        <c:ser>
          <c:idx val="1"/>
          <c:order val="0"/>
          <c:dLbls>
            <c:showVal val="1"/>
          </c:dLbls>
          <c:cat>
            <c:strRef>
              <c:f>OverallResults!$A$56:$A$60</c:f>
              <c:strCache>
                <c:ptCount val="5"/>
                <c:pt idx="0">
                  <c:v>Ireland</c:v>
                </c:pt>
                <c:pt idx="1">
                  <c:v>United Kingdom</c:v>
                </c:pt>
                <c:pt idx="2">
                  <c:v>EU</c:v>
                </c:pt>
                <c:pt idx="3">
                  <c:v>Non-EU</c:v>
                </c:pt>
                <c:pt idx="4">
                  <c:v>Other</c:v>
                </c:pt>
              </c:strCache>
            </c:strRef>
          </c:cat>
          <c:val>
            <c:numRef>
              <c:f>OverallResults!$D$56:$D$60</c:f>
              <c:numCache>
                <c:formatCode>0.0</c:formatCode>
                <c:ptCount val="5"/>
                <c:pt idx="0">
                  <c:v>0</c:v>
                </c:pt>
                <c:pt idx="1">
                  <c:v>0</c:v>
                </c:pt>
                <c:pt idx="2">
                  <c:v>0</c:v>
                </c:pt>
                <c:pt idx="3">
                  <c:v>0</c:v>
                </c:pt>
                <c:pt idx="4">
                  <c:v>0</c:v>
                </c:pt>
              </c:numCache>
            </c:numRef>
          </c:val>
        </c:ser>
        <c:dLbls/>
        <c:axId val="79820288"/>
        <c:axId val="79821824"/>
      </c:barChart>
      <c:catAx>
        <c:axId val="79820288"/>
        <c:scaling>
          <c:orientation val="minMax"/>
        </c:scaling>
        <c:axPos val="b"/>
        <c:majorTickMark val="none"/>
        <c:tickLblPos val="nextTo"/>
        <c:crossAx val="79821824"/>
        <c:crosses val="autoZero"/>
        <c:auto val="1"/>
        <c:lblAlgn val="ctr"/>
        <c:lblOffset val="100"/>
      </c:catAx>
      <c:valAx>
        <c:axId val="79821824"/>
        <c:scaling>
          <c:orientation val="minMax"/>
          <c:max val="100"/>
        </c:scaling>
        <c:axPos val="l"/>
        <c:majorGridlines/>
        <c:numFmt formatCode="0.0" sourceLinked="1"/>
        <c:majorTickMark val="none"/>
        <c:tickLblPos val="nextTo"/>
        <c:crossAx val="79820288"/>
        <c:crosses val="autoZero"/>
        <c:crossBetween val="between"/>
      </c:valAx>
    </c:plotArea>
    <c:plotVisOnly val="1"/>
    <c:dispBlanksAs val="gap"/>
  </c:chart>
  <c:printSettings>
    <c:headerFooter/>
    <c:pageMargins b="0.75000000000000422" l="0.70000000000000062" r="0.70000000000000062" t="0.75000000000000422" header="0.30000000000000032" footer="0.30000000000000032"/>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lang val="en-IE"/>
  <c:chart>
    <c:title>
      <c:tx>
        <c:strRef>
          <c:f>'Search by Gender'!$A$172</c:f>
          <c:strCache>
            <c:ptCount val="1"/>
            <c:pt idx="0">
              <c:v>Patient felt treated with kindness and respect during visit</c:v>
            </c:pt>
          </c:strCache>
        </c:strRef>
      </c:tx>
    </c:title>
    <c:plotArea>
      <c:layout/>
      <c:barChart>
        <c:barDir val="col"/>
        <c:grouping val="clustered"/>
        <c:ser>
          <c:idx val="0"/>
          <c:order val="0"/>
          <c:dLbls>
            <c:showVal val="1"/>
          </c:dLbls>
          <c:cat>
            <c:strRef>
              <c:f>'Search by Gender'!$A$174:$A$175</c:f>
              <c:strCache>
                <c:ptCount val="2"/>
                <c:pt idx="0">
                  <c:v>Yes</c:v>
                </c:pt>
                <c:pt idx="1">
                  <c:v>No</c:v>
                </c:pt>
              </c:strCache>
            </c:strRef>
          </c:cat>
          <c:val>
            <c:numRef>
              <c:f>'Search by Gender'!$D$174:$D$175</c:f>
              <c:numCache>
                <c:formatCode>0.0</c:formatCode>
                <c:ptCount val="2"/>
                <c:pt idx="0">
                  <c:v>0</c:v>
                </c:pt>
                <c:pt idx="1">
                  <c:v>0</c:v>
                </c:pt>
              </c:numCache>
            </c:numRef>
          </c:val>
        </c:ser>
        <c:dLbls/>
        <c:axId val="91089152"/>
        <c:axId val="91172864"/>
      </c:barChart>
      <c:catAx>
        <c:axId val="91089152"/>
        <c:scaling>
          <c:orientation val="minMax"/>
        </c:scaling>
        <c:axPos val="b"/>
        <c:majorTickMark val="none"/>
        <c:tickLblPos val="nextTo"/>
        <c:crossAx val="91172864"/>
        <c:crosses val="autoZero"/>
        <c:auto val="1"/>
        <c:lblAlgn val="ctr"/>
        <c:lblOffset val="100"/>
      </c:catAx>
      <c:valAx>
        <c:axId val="91172864"/>
        <c:scaling>
          <c:orientation val="minMax"/>
          <c:max val="100"/>
        </c:scaling>
        <c:axPos val="l"/>
        <c:majorGridlines/>
        <c:numFmt formatCode="0.0" sourceLinked="1"/>
        <c:majorTickMark val="none"/>
        <c:tickLblPos val="nextTo"/>
        <c:crossAx val="91089152"/>
        <c:crosses val="autoZero"/>
        <c:crossBetween val="between"/>
      </c:valAx>
    </c:plotArea>
    <c:plotVisOnly val="1"/>
    <c:dispBlanksAs val="gap"/>
  </c:chart>
  <c:printSettings>
    <c:headerFooter/>
    <c:pageMargins b="0.75000000000000688" l="0.70000000000000062" r="0.70000000000000062" t="0.75000000000000688" header="0.30000000000000032" footer="0.30000000000000032"/>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c:lang val="en-IE"/>
  <c:chart>
    <c:title>
      <c:tx>
        <c:strRef>
          <c:f>'Search by Gender'!$A$180</c:f>
          <c:strCache>
            <c:ptCount val="1"/>
            <c:pt idx="0">
              <c:v>Satisfaction with the level of privacy provided during appointment</c:v>
            </c:pt>
          </c:strCache>
        </c:strRef>
      </c:tx>
    </c:title>
    <c:plotArea>
      <c:layout/>
      <c:barChart>
        <c:barDir val="col"/>
        <c:grouping val="clustered"/>
        <c:ser>
          <c:idx val="0"/>
          <c:order val="0"/>
          <c:dLbls>
            <c:showVal val="1"/>
          </c:dLbls>
          <c:cat>
            <c:strRef>
              <c:f>'Search by Gender'!$A$182:$A$183</c:f>
              <c:strCache>
                <c:ptCount val="2"/>
                <c:pt idx="0">
                  <c:v>Yes</c:v>
                </c:pt>
                <c:pt idx="1">
                  <c:v>No</c:v>
                </c:pt>
              </c:strCache>
            </c:strRef>
          </c:cat>
          <c:val>
            <c:numRef>
              <c:f>'Search by Gender'!$D$182:$D$183</c:f>
              <c:numCache>
                <c:formatCode>0.0</c:formatCode>
                <c:ptCount val="2"/>
                <c:pt idx="0">
                  <c:v>0</c:v>
                </c:pt>
                <c:pt idx="1">
                  <c:v>0</c:v>
                </c:pt>
              </c:numCache>
            </c:numRef>
          </c:val>
        </c:ser>
        <c:dLbls/>
        <c:axId val="91180416"/>
        <c:axId val="91194496"/>
      </c:barChart>
      <c:catAx>
        <c:axId val="91180416"/>
        <c:scaling>
          <c:orientation val="minMax"/>
        </c:scaling>
        <c:axPos val="b"/>
        <c:majorTickMark val="none"/>
        <c:tickLblPos val="nextTo"/>
        <c:crossAx val="91194496"/>
        <c:crosses val="autoZero"/>
        <c:auto val="1"/>
        <c:lblAlgn val="ctr"/>
        <c:lblOffset val="100"/>
      </c:catAx>
      <c:valAx>
        <c:axId val="91194496"/>
        <c:scaling>
          <c:orientation val="minMax"/>
          <c:max val="100"/>
        </c:scaling>
        <c:axPos val="l"/>
        <c:majorGridlines/>
        <c:numFmt formatCode="0.0" sourceLinked="1"/>
        <c:majorTickMark val="none"/>
        <c:tickLblPos val="nextTo"/>
        <c:crossAx val="91180416"/>
        <c:crosses val="autoZero"/>
        <c:crossBetween val="between"/>
      </c:valAx>
    </c:plotArea>
    <c:plotVisOnly val="1"/>
    <c:dispBlanksAs val="gap"/>
  </c:chart>
  <c:printSettings>
    <c:headerFooter/>
    <c:pageMargins b="0.75000000000000711" l="0.70000000000000062" r="0.70000000000000062" t="0.75000000000000711" header="0.30000000000000032" footer="0.30000000000000032"/>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c:lang val="en-IE"/>
  <c:chart>
    <c:title>
      <c:tx>
        <c:strRef>
          <c:f>'Search by Gender'!$A$188</c:f>
          <c:strCache>
            <c:ptCount val="1"/>
            <c:pt idx="0">
              <c:v>It was explained that, if relevant to overall care, patients information may be shared with other PCT members
about you with other members of the Primary Care Team?</c:v>
            </c:pt>
          </c:strCache>
        </c:strRef>
      </c:tx>
    </c:title>
    <c:plotArea>
      <c:layout/>
      <c:barChart>
        <c:barDir val="col"/>
        <c:grouping val="clustered"/>
        <c:ser>
          <c:idx val="0"/>
          <c:order val="0"/>
          <c:dLbls>
            <c:showVal val="1"/>
          </c:dLbls>
          <c:cat>
            <c:strRef>
              <c:f>'Search by Gender'!$A$190:$A$192</c:f>
              <c:strCache>
                <c:ptCount val="3"/>
                <c:pt idx="0">
                  <c:v>Yes</c:v>
                </c:pt>
                <c:pt idx="1">
                  <c:v>No</c:v>
                </c:pt>
                <c:pt idx="2">
                  <c:v>Not sure</c:v>
                </c:pt>
              </c:strCache>
            </c:strRef>
          </c:cat>
          <c:val>
            <c:numRef>
              <c:f>'Search by Gender'!$D$190:$D$192</c:f>
              <c:numCache>
                <c:formatCode>0.0</c:formatCode>
                <c:ptCount val="3"/>
                <c:pt idx="0">
                  <c:v>0</c:v>
                </c:pt>
                <c:pt idx="1">
                  <c:v>0</c:v>
                </c:pt>
                <c:pt idx="2">
                  <c:v>0</c:v>
                </c:pt>
              </c:numCache>
            </c:numRef>
          </c:val>
        </c:ser>
        <c:dLbls/>
        <c:axId val="91214976"/>
        <c:axId val="91216512"/>
      </c:barChart>
      <c:catAx>
        <c:axId val="91214976"/>
        <c:scaling>
          <c:orientation val="minMax"/>
        </c:scaling>
        <c:axPos val="b"/>
        <c:numFmt formatCode="General" sourceLinked="1"/>
        <c:majorTickMark val="none"/>
        <c:tickLblPos val="nextTo"/>
        <c:crossAx val="91216512"/>
        <c:crosses val="autoZero"/>
        <c:auto val="1"/>
        <c:lblAlgn val="ctr"/>
        <c:lblOffset val="100"/>
      </c:catAx>
      <c:valAx>
        <c:axId val="91216512"/>
        <c:scaling>
          <c:orientation val="minMax"/>
          <c:max val="100"/>
        </c:scaling>
        <c:axPos val="l"/>
        <c:majorGridlines/>
        <c:numFmt formatCode="0.0" sourceLinked="1"/>
        <c:majorTickMark val="none"/>
        <c:tickLblPos val="nextTo"/>
        <c:crossAx val="91214976"/>
        <c:crosses val="autoZero"/>
        <c:crossBetween val="between"/>
      </c:valAx>
    </c:plotArea>
    <c:plotVisOnly val="1"/>
    <c:dispBlanksAs val="gap"/>
  </c:chart>
  <c:printSettings>
    <c:headerFooter/>
    <c:pageMargins b="0.75000000000000733" l="0.70000000000000062" r="0.70000000000000062" t="0.75000000000000733" header="0.30000000000000032" footer="0.30000000000000032"/>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c:lang val="en-IE"/>
  <c:chart>
    <c:title>
      <c:tx>
        <c:strRef>
          <c:f>'Search by Gender'!$A$197</c:f>
          <c:strCache>
            <c:ptCount val="1"/>
            <c:pt idx="0">
              <c:v>Advice and information provided during appointment was easy to understand</c:v>
            </c:pt>
          </c:strCache>
        </c:strRef>
      </c:tx>
    </c:title>
    <c:plotArea>
      <c:layout/>
      <c:barChart>
        <c:barDir val="col"/>
        <c:grouping val="clustered"/>
        <c:ser>
          <c:idx val="0"/>
          <c:order val="0"/>
          <c:dLbls>
            <c:showVal val="1"/>
          </c:dLbls>
          <c:cat>
            <c:strRef>
              <c:f>'Search by Gender'!$A$199:$A$200</c:f>
              <c:strCache>
                <c:ptCount val="2"/>
                <c:pt idx="0">
                  <c:v>Yes</c:v>
                </c:pt>
                <c:pt idx="1">
                  <c:v>No</c:v>
                </c:pt>
              </c:strCache>
            </c:strRef>
          </c:cat>
          <c:val>
            <c:numRef>
              <c:f>'Search by Gender'!$D$199:$D$200</c:f>
              <c:numCache>
                <c:formatCode>0.0</c:formatCode>
                <c:ptCount val="2"/>
                <c:pt idx="0">
                  <c:v>0</c:v>
                </c:pt>
                <c:pt idx="1">
                  <c:v>0</c:v>
                </c:pt>
              </c:numCache>
            </c:numRef>
          </c:val>
        </c:ser>
        <c:dLbls/>
        <c:axId val="91318528"/>
        <c:axId val="91328512"/>
      </c:barChart>
      <c:catAx>
        <c:axId val="91318528"/>
        <c:scaling>
          <c:orientation val="minMax"/>
        </c:scaling>
        <c:axPos val="b"/>
        <c:numFmt formatCode="General" sourceLinked="1"/>
        <c:majorTickMark val="none"/>
        <c:tickLblPos val="nextTo"/>
        <c:crossAx val="91328512"/>
        <c:crosses val="autoZero"/>
        <c:auto val="1"/>
        <c:lblAlgn val="ctr"/>
        <c:lblOffset val="100"/>
      </c:catAx>
      <c:valAx>
        <c:axId val="91328512"/>
        <c:scaling>
          <c:orientation val="minMax"/>
          <c:max val="100"/>
        </c:scaling>
        <c:axPos val="l"/>
        <c:majorGridlines/>
        <c:numFmt formatCode="0.0" sourceLinked="1"/>
        <c:majorTickMark val="none"/>
        <c:tickLblPos val="nextTo"/>
        <c:crossAx val="91318528"/>
        <c:crosses val="autoZero"/>
        <c:crossBetween val="between"/>
      </c:valAx>
    </c:plotArea>
    <c:plotVisOnly val="1"/>
    <c:dispBlanksAs val="gap"/>
  </c:chart>
  <c:printSettings>
    <c:headerFooter/>
    <c:pageMargins b="0.75000000000000755" l="0.70000000000000062" r="0.70000000000000062" t="0.75000000000000755" header="0.30000000000000032" footer="0.30000000000000032"/>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lang val="en-IE"/>
  <c:chart>
    <c:title>
      <c:tx>
        <c:strRef>
          <c:f>'Search by Gender'!$A$206</c:f>
          <c:strCache>
            <c:ptCount val="1"/>
            <c:pt idx="0">
              <c:v>Enough time provided during appointment to ask questions and discuss your health problems and concerns</c:v>
            </c:pt>
          </c:strCache>
        </c:strRef>
      </c:tx>
    </c:title>
    <c:plotArea>
      <c:layout/>
      <c:barChart>
        <c:barDir val="col"/>
        <c:grouping val="clustered"/>
        <c:ser>
          <c:idx val="0"/>
          <c:order val="0"/>
          <c:dLbls>
            <c:showVal val="1"/>
          </c:dLbls>
          <c:cat>
            <c:strRef>
              <c:f>'Search by Gender'!$A$208:$A$209</c:f>
              <c:strCache>
                <c:ptCount val="2"/>
                <c:pt idx="0">
                  <c:v>Yes</c:v>
                </c:pt>
                <c:pt idx="1">
                  <c:v>No</c:v>
                </c:pt>
              </c:strCache>
            </c:strRef>
          </c:cat>
          <c:val>
            <c:numRef>
              <c:f>'Search by Gender'!$D$208:$D$209</c:f>
              <c:numCache>
                <c:formatCode>0.0</c:formatCode>
                <c:ptCount val="2"/>
                <c:pt idx="0">
                  <c:v>0</c:v>
                </c:pt>
                <c:pt idx="1">
                  <c:v>0</c:v>
                </c:pt>
              </c:numCache>
            </c:numRef>
          </c:val>
        </c:ser>
        <c:dLbls/>
        <c:axId val="91340160"/>
        <c:axId val="91354240"/>
      </c:barChart>
      <c:catAx>
        <c:axId val="91340160"/>
        <c:scaling>
          <c:orientation val="minMax"/>
        </c:scaling>
        <c:axPos val="b"/>
        <c:numFmt formatCode="General" sourceLinked="1"/>
        <c:majorTickMark val="none"/>
        <c:tickLblPos val="nextTo"/>
        <c:crossAx val="91354240"/>
        <c:crosses val="autoZero"/>
        <c:auto val="1"/>
        <c:lblAlgn val="ctr"/>
        <c:lblOffset val="100"/>
      </c:catAx>
      <c:valAx>
        <c:axId val="91354240"/>
        <c:scaling>
          <c:orientation val="minMax"/>
          <c:max val="100"/>
        </c:scaling>
        <c:axPos val="l"/>
        <c:majorGridlines/>
        <c:numFmt formatCode="0.0" sourceLinked="1"/>
        <c:majorTickMark val="none"/>
        <c:tickLblPos val="nextTo"/>
        <c:crossAx val="91340160"/>
        <c:crosses val="autoZero"/>
        <c:crossBetween val="between"/>
      </c:valAx>
    </c:plotArea>
    <c:plotVisOnly val="1"/>
    <c:dispBlanksAs val="gap"/>
  </c:chart>
  <c:printSettings>
    <c:headerFooter/>
    <c:pageMargins b="0.75000000000000777" l="0.70000000000000062" r="0.70000000000000062" t="0.75000000000000777" header="0.30000000000000032" footer="0.30000000000000032"/>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c:lang val="en-IE"/>
  <c:chart>
    <c:title>
      <c:tx>
        <c:strRef>
          <c:f>'Search by Gender'!$A$214</c:f>
          <c:strCache>
            <c:ptCount val="1"/>
            <c:pt idx="0">
              <c:v>Were you involved in making decisions about your care and treatment?</c:v>
            </c:pt>
          </c:strCache>
        </c:strRef>
      </c:tx>
    </c:title>
    <c:plotArea>
      <c:layout/>
      <c:barChart>
        <c:barDir val="col"/>
        <c:grouping val="clustered"/>
        <c:ser>
          <c:idx val="0"/>
          <c:order val="0"/>
          <c:dLbls>
            <c:showVal val="1"/>
          </c:dLbls>
          <c:cat>
            <c:strRef>
              <c:f>'Search by Gender'!$A$216:$A$217</c:f>
              <c:strCache>
                <c:ptCount val="2"/>
                <c:pt idx="0">
                  <c:v>Yes</c:v>
                </c:pt>
                <c:pt idx="1">
                  <c:v>No</c:v>
                </c:pt>
              </c:strCache>
            </c:strRef>
          </c:cat>
          <c:val>
            <c:numRef>
              <c:f>'Search by Gender'!$D$216:$D$217</c:f>
              <c:numCache>
                <c:formatCode>0.0</c:formatCode>
                <c:ptCount val="2"/>
                <c:pt idx="0">
                  <c:v>0</c:v>
                </c:pt>
                <c:pt idx="1">
                  <c:v>0</c:v>
                </c:pt>
              </c:numCache>
            </c:numRef>
          </c:val>
        </c:ser>
        <c:dLbls/>
        <c:axId val="91408640"/>
        <c:axId val="91414528"/>
      </c:barChart>
      <c:catAx>
        <c:axId val="91408640"/>
        <c:scaling>
          <c:orientation val="minMax"/>
        </c:scaling>
        <c:axPos val="b"/>
        <c:numFmt formatCode="General" sourceLinked="1"/>
        <c:majorTickMark val="none"/>
        <c:tickLblPos val="nextTo"/>
        <c:txPr>
          <a:bodyPr/>
          <a:lstStyle/>
          <a:p>
            <a:pPr>
              <a:defRPr sz="800"/>
            </a:pPr>
            <a:endParaRPr lang="en-US"/>
          </a:p>
        </c:txPr>
        <c:crossAx val="91414528"/>
        <c:crosses val="autoZero"/>
        <c:auto val="1"/>
        <c:lblAlgn val="ctr"/>
        <c:lblOffset val="100"/>
      </c:catAx>
      <c:valAx>
        <c:axId val="91414528"/>
        <c:scaling>
          <c:orientation val="minMax"/>
          <c:max val="100"/>
        </c:scaling>
        <c:axPos val="l"/>
        <c:majorGridlines/>
        <c:numFmt formatCode="0.0" sourceLinked="1"/>
        <c:majorTickMark val="none"/>
        <c:tickLblPos val="nextTo"/>
        <c:crossAx val="91408640"/>
        <c:crosses val="autoZero"/>
        <c:crossBetween val="between"/>
      </c:valAx>
    </c:plotArea>
    <c:plotVisOnly val="1"/>
    <c:dispBlanksAs val="gap"/>
  </c:chart>
  <c:printSettings>
    <c:headerFooter/>
    <c:pageMargins b="0.75000000000000799" l="0.70000000000000062" r="0.70000000000000062" t="0.75000000000000799" header="0.30000000000000032" footer="0.30000000000000032"/>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c:lang val="en-IE"/>
  <c:chart>
    <c:title>
      <c:tx>
        <c:strRef>
          <c:f>'Search by Gender'!$A$222</c:f>
          <c:strCache>
            <c:ptCount val="1"/>
            <c:pt idx="0">
              <c:v>Information or advice received on Quitting smoking during your visit</c:v>
            </c:pt>
          </c:strCache>
        </c:strRef>
      </c:tx>
    </c:title>
    <c:plotArea>
      <c:layout/>
      <c:barChart>
        <c:barDir val="col"/>
        <c:grouping val="clustered"/>
        <c:ser>
          <c:idx val="0"/>
          <c:order val="0"/>
          <c:dLbls>
            <c:showVal val="1"/>
          </c:dLbls>
          <c:cat>
            <c:strRef>
              <c:f>'Search by Gender'!$A$224:$A$225</c:f>
              <c:strCache>
                <c:ptCount val="2"/>
                <c:pt idx="0">
                  <c:v>Yes</c:v>
                </c:pt>
                <c:pt idx="1">
                  <c:v>No</c:v>
                </c:pt>
              </c:strCache>
            </c:strRef>
          </c:cat>
          <c:val>
            <c:numRef>
              <c:f>'Search by Gender'!$D$224:$D$225</c:f>
              <c:numCache>
                <c:formatCode>0.0</c:formatCode>
                <c:ptCount val="2"/>
                <c:pt idx="0">
                  <c:v>0</c:v>
                </c:pt>
                <c:pt idx="1">
                  <c:v>0</c:v>
                </c:pt>
              </c:numCache>
            </c:numRef>
          </c:val>
        </c:ser>
        <c:dLbls/>
        <c:axId val="91420928"/>
        <c:axId val="91459584"/>
      </c:barChart>
      <c:catAx>
        <c:axId val="91420928"/>
        <c:scaling>
          <c:orientation val="minMax"/>
        </c:scaling>
        <c:axPos val="b"/>
        <c:numFmt formatCode="General" sourceLinked="1"/>
        <c:majorTickMark val="none"/>
        <c:tickLblPos val="nextTo"/>
        <c:crossAx val="91459584"/>
        <c:crosses val="autoZero"/>
        <c:auto val="1"/>
        <c:lblAlgn val="ctr"/>
        <c:lblOffset val="100"/>
      </c:catAx>
      <c:valAx>
        <c:axId val="91459584"/>
        <c:scaling>
          <c:orientation val="minMax"/>
          <c:max val="100"/>
        </c:scaling>
        <c:axPos val="l"/>
        <c:majorGridlines/>
        <c:numFmt formatCode="0.0" sourceLinked="1"/>
        <c:majorTickMark val="none"/>
        <c:tickLblPos val="nextTo"/>
        <c:crossAx val="91420928"/>
        <c:crosses val="autoZero"/>
        <c:crossBetween val="between"/>
      </c:valAx>
    </c:plotArea>
    <c:plotVisOnly val="1"/>
    <c:dispBlanksAs val="gap"/>
  </c:chart>
  <c:printSettings>
    <c:headerFooter/>
    <c:pageMargins b="0.75000000000000799" l="0.70000000000000062" r="0.70000000000000062" t="0.75000000000000799" header="0.30000000000000032" footer="0.30000000000000032"/>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c:lang val="en-IE"/>
  <c:chart>
    <c:title>
      <c:tx>
        <c:strRef>
          <c:f>'Search by Gender'!$A$231</c:f>
          <c:strCache>
            <c:ptCount val="1"/>
            <c:pt idx="0">
              <c:v>Information or advice received  on Losing weight during your visit today</c:v>
            </c:pt>
          </c:strCache>
        </c:strRef>
      </c:tx>
    </c:title>
    <c:plotArea>
      <c:layout/>
      <c:barChart>
        <c:barDir val="col"/>
        <c:grouping val="clustered"/>
        <c:ser>
          <c:idx val="0"/>
          <c:order val="0"/>
          <c:dLbls>
            <c:showVal val="1"/>
          </c:dLbls>
          <c:cat>
            <c:strRef>
              <c:f>'Search by Gender'!$A$233:$A$234</c:f>
              <c:strCache>
                <c:ptCount val="2"/>
                <c:pt idx="0">
                  <c:v>Yes</c:v>
                </c:pt>
                <c:pt idx="1">
                  <c:v>No</c:v>
                </c:pt>
              </c:strCache>
            </c:strRef>
          </c:cat>
          <c:val>
            <c:numRef>
              <c:f>'Search by Gender'!$D$233:$D$234</c:f>
              <c:numCache>
                <c:formatCode>0.0</c:formatCode>
                <c:ptCount val="2"/>
                <c:pt idx="0">
                  <c:v>0</c:v>
                </c:pt>
                <c:pt idx="1">
                  <c:v>0</c:v>
                </c:pt>
              </c:numCache>
            </c:numRef>
          </c:val>
        </c:ser>
        <c:dLbls/>
        <c:axId val="91471232"/>
        <c:axId val="91481216"/>
      </c:barChart>
      <c:catAx>
        <c:axId val="91471232"/>
        <c:scaling>
          <c:orientation val="minMax"/>
        </c:scaling>
        <c:axPos val="b"/>
        <c:numFmt formatCode="General" sourceLinked="1"/>
        <c:majorTickMark val="none"/>
        <c:tickLblPos val="nextTo"/>
        <c:crossAx val="91481216"/>
        <c:crosses val="autoZero"/>
        <c:auto val="1"/>
        <c:lblAlgn val="ctr"/>
        <c:lblOffset val="100"/>
      </c:catAx>
      <c:valAx>
        <c:axId val="91481216"/>
        <c:scaling>
          <c:orientation val="minMax"/>
          <c:max val="100"/>
        </c:scaling>
        <c:axPos val="l"/>
        <c:majorGridlines/>
        <c:numFmt formatCode="0.0" sourceLinked="1"/>
        <c:majorTickMark val="none"/>
        <c:tickLblPos val="nextTo"/>
        <c:crossAx val="91471232"/>
        <c:crosses val="autoZero"/>
        <c:crossBetween val="between"/>
      </c:valAx>
    </c:plotArea>
    <c:plotVisOnly val="1"/>
    <c:dispBlanksAs val="gap"/>
  </c:chart>
  <c:printSettings>
    <c:headerFooter/>
    <c:pageMargins b="0.75000000000000755" l="0.70000000000000062" r="0.70000000000000062" t="0.75000000000000755" header="0.30000000000000032" footer="0.30000000000000032"/>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c:lang val="en-IE"/>
  <c:chart>
    <c:title>
      <c:tx>
        <c:strRef>
          <c:f>'Search by Gender'!$A$240</c:f>
          <c:strCache>
            <c:ptCount val="1"/>
            <c:pt idx="0">
              <c:v>Information or advice received  on Nutrition and healthy eating during your visit</c:v>
            </c:pt>
          </c:strCache>
        </c:strRef>
      </c:tx>
    </c:title>
    <c:plotArea>
      <c:layout/>
      <c:barChart>
        <c:barDir val="col"/>
        <c:grouping val="clustered"/>
        <c:ser>
          <c:idx val="0"/>
          <c:order val="0"/>
          <c:dLbls>
            <c:showVal val="1"/>
          </c:dLbls>
          <c:cat>
            <c:strRef>
              <c:f>'Search by Gender'!$A$242:$A$243</c:f>
              <c:strCache>
                <c:ptCount val="2"/>
                <c:pt idx="0">
                  <c:v>Yes</c:v>
                </c:pt>
                <c:pt idx="1">
                  <c:v>No</c:v>
                </c:pt>
              </c:strCache>
            </c:strRef>
          </c:cat>
          <c:val>
            <c:numRef>
              <c:f>'Search by Gender'!$D$242:$D$243</c:f>
              <c:numCache>
                <c:formatCode>0.0</c:formatCode>
                <c:ptCount val="2"/>
                <c:pt idx="0">
                  <c:v>0</c:v>
                </c:pt>
                <c:pt idx="1">
                  <c:v>0</c:v>
                </c:pt>
              </c:numCache>
            </c:numRef>
          </c:val>
        </c:ser>
        <c:dLbls/>
        <c:axId val="91509504"/>
        <c:axId val="91511040"/>
      </c:barChart>
      <c:catAx>
        <c:axId val="91509504"/>
        <c:scaling>
          <c:orientation val="minMax"/>
        </c:scaling>
        <c:axPos val="b"/>
        <c:numFmt formatCode="General" sourceLinked="1"/>
        <c:majorTickMark val="none"/>
        <c:tickLblPos val="nextTo"/>
        <c:crossAx val="91511040"/>
        <c:crosses val="autoZero"/>
        <c:auto val="1"/>
        <c:lblAlgn val="ctr"/>
        <c:lblOffset val="100"/>
      </c:catAx>
      <c:valAx>
        <c:axId val="91511040"/>
        <c:scaling>
          <c:orientation val="minMax"/>
          <c:max val="100"/>
        </c:scaling>
        <c:axPos val="l"/>
        <c:majorGridlines/>
        <c:numFmt formatCode="0.0" sourceLinked="1"/>
        <c:majorTickMark val="none"/>
        <c:tickLblPos val="nextTo"/>
        <c:crossAx val="91509504"/>
        <c:crosses val="autoZero"/>
        <c:crossBetween val="between"/>
      </c:valAx>
    </c:plotArea>
    <c:plotVisOnly val="1"/>
    <c:dispBlanksAs val="gap"/>
  </c:chart>
  <c:printSettings>
    <c:headerFooter/>
    <c:pageMargins b="0.75000000000000777" l="0.70000000000000062" r="0.70000000000000062" t="0.75000000000000777" header="0.30000000000000032" footer="0.30000000000000032"/>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c:lang val="en-IE"/>
  <c:chart>
    <c:title>
      <c:tx>
        <c:strRef>
          <c:f>'Search by Gender'!$A$249</c:f>
          <c:strCache>
            <c:ptCount val="1"/>
            <c:pt idx="0">
              <c:v>Information or advice received on Physical activity during your visit today</c:v>
            </c:pt>
          </c:strCache>
        </c:strRef>
      </c:tx>
    </c:title>
    <c:plotArea>
      <c:layout/>
      <c:barChart>
        <c:barDir val="col"/>
        <c:grouping val="clustered"/>
        <c:ser>
          <c:idx val="0"/>
          <c:order val="0"/>
          <c:dLbls>
            <c:showVal val="1"/>
          </c:dLbls>
          <c:cat>
            <c:strRef>
              <c:f>'Search by Gender'!$A$251:$A$252</c:f>
              <c:strCache>
                <c:ptCount val="2"/>
                <c:pt idx="0">
                  <c:v>Yes</c:v>
                </c:pt>
                <c:pt idx="1">
                  <c:v>No</c:v>
                </c:pt>
              </c:strCache>
            </c:strRef>
          </c:cat>
          <c:val>
            <c:numRef>
              <c:f>'Search by Gender'!$D$251:$D$252</c:f>
              <c:numCache>
                <c:formatCode>0.0</c:formatCode>
                <c:ptCount val="2"/>
                <c:pt idx="0">
                  <c:v>0</c:v>
                </c:pt>
                <c:pt idx="1">
                  <c:v>0</c:v>
                </c:pt>
              </c:numCache>
            </c:numRef>
          </c:val>
        </c:ser>
        <c:dLbls/>
        <c:axId val="91538944"/>
        <c:axId val="91540480"/>
      </c:barChart>
      <c:catAx>
        <c:axId val="91538944"/>
        <c:scaling>
          <c:orientation val="minMax"/>
        </c:scaling>
        <c:axPos val="b"/>
        <c:numFmt formatCode="General" sourceLinked="1"/>
        <c:majorTickMark val="none"/>
        <c:tickLblPos val="nextTo"/>
        <c:crossAx val="91540480"/>
        <c:crosses val="autoZero"/>
        <c:auto val="1"/>
        <c:lblAlgn val="ctr"/>
        <c:lblOffset val="100"/>
      </c:catAx>
      <c:valAx>
        <c:axId val="91540480"/>
        <c:scaling>
          <c:orientation val="minMax"/>
          <c:max val="100"/>
        </c:scaling>
        <c:axPos val="l"/>
        <c:majorGridlines/>
        <c:numFmt formatCode="0.0" sourceLinked="1"/>
        <c:majorTickMark val="none"/>
        <c:tickLblPos val="nextTo"/>
        <c:crossAx val="91538944"/>
        <c:crosses val="autoZero"/>
        <c:crossBetween val="between"/>
      </c:valAx>
    </c:plotArea>
    <c:plotVisOnly val="1"/>
    <c:dispBlanksAs val="gap"/>
  </c:chart>
  <c:printSettings>
    <c:headerFooter/>
    <c:pageMargins b="0.75000000000000799" l="0.70000000000000062" r="0.70000000000000062" t="0.750000000000007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IE"/>
  <c:chart>
    <c:title>
      <c:tx>
        <c:rich>
          <a:bodyPr/>
          <a:lstStyle/>
          <a:p>
            <a:pPr>
              <a:defRPr/>
            </a:pPr>
            <a:r>
              <a:rPr lang="en-IE"/>
              <a:t>Primary Care Team attended on day of survey</a:t>
            </a:r>
          </a:p>
        </c:rich>
      </c:tx>
    </c:title>
    <c:plotArea>
      <c:layout/>
      <c:barChart>
        <c:barDir val="col"/>
        <c:grouping val="clustered"/>
        <c:ser>
          <c:idx val="0"/>
          <c:order val="0"/>
          <c:dLbls>
            <c:showVal val="1"/>
          </c:dLbls>
          <c:cat>
            <c:strRef>
              <c:f>OverallResults!$A$67:$A$83</c:f>
              <c:strCache>
                <c:ptCount val="17"/>
                <c:pt idx="0">
                  <c:v>GP</c:v>
                </c:pt>
                <c:pt idx="1">
                  <c:v>Practice Nurse</c:v>
                </c:pt>
                <c:pt idx="2">
                  <c:v>Public Health Nurse or Community Nurse</c:v>
                </c:pt>
                <c:pt idx="3">
                  <c:v>Physiotherapist</c:v>
                </c:pt>
                <c:pt idx="4">
                  <c:v>Occupational Therapist</c:v>
                </c:pt>
                <c:pt idx="5">
                  <c:v>SLT</c:v>
                </c:pt>
                <c:pt idx="6">
                  <c:v>Dentist</c:v>
                </c:pt>
                <c:pt idx="7">
                  <c:v>Dental Hygienist/ Nurse</c:v>
                </c:pt>
                <c:pt idx="8">
                  <c:v>Podiatrist/ Chiropodist</c:v>
                </c:pt>
                <c:pt idx="9">
                  <c:v>Dietician</c:v>
                </c:pt>
                <c:pt idx="10">
                  <c:v>Psychology</c:v>
                </c:pt>
                <c:pt idx="11">
                  <c:v>Orthodontic</c:v>
                </c:pt>
                <c:pt idx="12">
                  <c:v>Social Work</c:v>
                </c:pt>
                <c:pt idx="13">
                  <c:v>Ophthalmic</c:v>
                </c:pt>
                <c:pt idx="14">
                  <c:v>Audiology</c:v>
                </c:pt>
                <c:pt idx="15">
                  <c:v>Another service</c:v>
                </c:pt>
                <c:pt idx="16">
                  <c:v>Attended more than one service</c:v>
                </c:pt>
              </c:strCache>
            </c:strRef>
          </c:cat>
          <c:val>
            <c:numRef>
              <c:f>OverallResults!$D$67:$D$83</c:f>
              <c:numCache>
                <c:formatCode>0.0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ser>
        <c:dLbls/>
        <c:axId val="79858304"/>
        <c:axId val="79864192"/>
      </c:barChart>
      <c:catAx>
        <c:axId val="79858304"/>
        <c:scaling>
          <c:orientation val="minMax"/>
        </c:scaling>
        <c:axPos val="b"/>
        <c:majorTickMark val="none"/>
        <c:tickLblPos val="nextTo"/>
        <c:crossAx val="79864192"/>
        <c:crosses val="autoZero"/>
        <c:auto val="1"/>
        <c:lblAlgn val="ctr"/>
        <c:lblOffset val="100"/>
      </c:catAx>
      <c:valAx>
        <c:axId val="79864192"/>
        <c:scaling>
          <c:orientation val="minMax"/>
          <c:max val="100"/>
        </c:scaling>
        <c:axPos val="l"/>
        <c:majorGridlines/>
        <c:numFmt formatCode="0.0" sourceLinked="1"/>
        <c:majorTickMark val="none"/>
        <c:tickLblPos val="nextTo"/>
        <c:crossAx val="79858304"/>
        <c:crosses val="autoZero"/>
        <c:crossBetween val="between"/>
      </c:valAx>
    </c:plotArea>
    <c:plotVisOnly val="1"/>
    <c:dispBlanksAs val="gap"/>
  </c:chart>
  <c:printSettings>
    <c:headerFooter/>
    <c:pageMargins b="0.75000000000000444" l="0.70000000000000062" r="0.70000000000000062" t="0.75000000000000444" header="0.30000000000000032" footer="0.30000000000000032"/>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c:lang val="en-IE"/>
  <c:chart>
    <c:title>
      <c:tx>
        <c:strRef>
          <c:f>'Search by Gender'!$A$258</c:f>
          <c:strCache>
            <c:ptCount val="1"/>
            <c:pt idx="0">
              <c:v>Information or advice received on Alcohol use during your visit </c:v>
            </c:pt>
          </c:strCache>
        </c:strRef>
      </c:tx>
    </c:title>
    <c:plotArea>
      <c:layout/>
      <c:barChart>
        <c:barDir val="col"/>
        <c:grouping val="clustered"/>
        <c:ser>
          <c:idx val="0"/>
          <c:order val="0"/>
          <c:dLbls>
            <c:showVal val="1"/>
          </c:dLbls>
          <c:cat>
            <c:strRef>
              <c:f>'Search by Gender'!$A$260:$A$261</c:f>
              <c:strCache>
                <c:ptCount val="2"/>
                <c:pt idx="0">
                  <c:v>Yes</c:v>
                </c:pt>
                <c:pt idx="1">
                  <c:v>No</c:v>
                </c:pt>
              </c:strCache>
            </c:strRef>
          </c:cat>
          <c:val>
            <c:numRef>
              <c:f>'Search by Gender'!$D$260:$D$261</c:f>
              <c:numCache>
                <c:formatCode>0.0</c:formatCode>
                <c:ptCount val="2"/>
                <c:pt idx="0">
                  <c:v>0</c:v>
                </c:pt>
                <c:pt idx="1">
                  <c:v>0</c:v>
                </c:pt>
              </c:numCache>
            </c:numRef>
          </c:val>
        </c:ser>
        <c:dLbls/>
        <c:axId val="91560576"/>
        <c:axId val="91566464"/>
      </c:barChart>
      <c:catAx>
        <c:axId val="91560576"/>
        <c:scaling>
          <c:orientation val="minMax"/>
        </c:scaling>
        <c:axPos val="b"/>
        <c:numFmt formatCode="General" sourceLinked="1"/>
        <c:majorTickMark val="none"/>
        <c:tickLblPos val="nextTo"/>
        <c:crossAx val="91566464"/>
        <c:crosses val="autoZero"/>
        <c:auto val="1"/>
        <c:lblAlgn val="ctr"/>
        <c:lblOffset val="100"/>
      </c:catAx>
      <c:valAx>
        <c:axId val="91566464"/>
        <c:scaling>
          <c:orientation val="minMax"/>
          <c:max val="100"/>
        </c:scaling>
        <c:axPos val="l"/>
        <c:majorGridlines/>
        <c:numFmt formatCode="0.0" sourceLinked="1"/>
        <c:majorTickMark val="none"/>
        <c:tickLblPos val="nextTo"/>
        <c:crossAx val="91560576"/>
        <c:crosses val="autoZero"/>
        <c:crossBetween val="between"/>
      </c:valAx>
    </c:plotArea>
    <c:plotVisOnly val="1"/>
    <c:dispBlanksAs val="gap"/>
  </c:chart>
  <c:printSettings>
    <c:headerFooter/>
    <c:pageMargins b="0.75000000000000822" l="0.70000000000000062" r="0.70000000000000062" t="0.75000000000000822" header="0.30000000000000032" footer="0.30000000000000032"/>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c:lang val="en-IE"/>
  <c:chart>
    <c:title>
      <c:tx>
        <c:strRef>
          <c:f>'Search by Gender'!$A$267</c:f>
          <c:strCache>
            <c:ptCount val="1"/>
            <c:pt idx="0">
              <c:v>Information or advice received Mental health and wellbeing during your visit</c:v>
            </c:pt>
          </c:strCache>
        </c:strRef>
      </c:tx>
    </c:title>
    <c:plotArea>
      <c:layout/>
      <c:barChart>
        <c:barDir val="col"/>
        <c:grouping val="clustered"/>
        <c:ser>
          <c:idx val="0"/>
          <c:order val="0"/>
          <c:dLbls>
            <c:showVal val="1"/>
          </c:dLbls>
          <c:cat>
            <c:strRef>
              <c:f>'Search by Gender'!$A$269:$A$270</c:f>
              <c:strCache>
                <c:ptCount val="2"/>
                <c:pt idx="0">
                  <c:v>Yes</c:v>
                </c:pt>
                <c:pt idx="1">
                  <c:v>No</c:v>
                </c:pt>
              </c:strCache>
            </c:strRef>
          </c:cat>
          <c:val>
            <c:numRef>
              <c:f>'Search by Gender'!$D$269:$D$270</c:f>
              <c:numCache>
                <c:formatCode>0.0</c:formatCode>
                <c:ptCount val="2"/>
                <c:pt idx="0">
                  <c:v>0</c:v>
                </c:pt>
                <c:pt idx="1">
                  <c:v>0</c:v>
                </c:pt>
              </c:numCache>
            </c:numRef>
          </c:val>
        </c:ser>
        <c:dLbls/>
        <c:axId val="91590656"/>
        <c:axId val="91592192"/>
      </c:barChart>
      <c:catAx>
        <c:axId val="91590656"/>
        <c:scaling>
          <c:orientation val="minMax"/>
        </c:scaling>
        <c:axPos val="b"/>
        <c:numFmt formatCode="General" sourceLinked="1"/>
        <c:majorTickMark val="none"/>
        <c:tickLblPos val="nextTo"/>
        <c:crossAx val="91592192"/>
        <c:crosses val="autoZero"/>
        <c:auto val="1"/>
        <c:lblAlgn val="ctr"/>
        <c:lblOffset val="100"/>
      </c:catAx>
      <c:valAx>
        <c:axId val="91592192"/>
        <c:scaling>
          <c:orientation val="minMax"/>
          <c:max val="100"/>
        </c:scaling>
        <c:axPos val="l"/>
        <c:majorGridlines/>
        <c:numFmt formatCode="0.0" sourceLinked="1"/>
        <c:majorTickMark val="none"/>
        <c:tickLblPos val="nextTo"/>
        <c:crossAx val="91590656"/>
        <c:crosses val="autoZero"/>
        <c:crossBetween val="between"/>
      </c:valAx>
    </c:plotArea>
    <c:plotVisOnly val="1"/>
    <c:dispBlanksAs val="gap"/>
  </c:chart>
  <c:printSettings>
    <c:headerFooter/>
    <c:pageMargins b="0.75000000000000844" l="0.70000000000000062" r="0.70000000000000062" t="0.75000000000000844" header="0.30000000000000032" footer="0.30000000000000032"/>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c:lang val="en-IE"/>
  <c:chart>
    <c:title>
      <c:tx>
        <c:strRef>
          <c:f>'Search by Gender'!$A$276</c:f>
          <c:strCache>
            <c:ptCount val="1"/>
            <c:pt idx="0">
              <c:v>Information or advice received on Dementia during your visit</c:v>
            </c:pt>
          </c:strCache>
        </c:strRef>
      </c:tx>
    </c:title>
    <c:plotArea>
      <c:layout/>
      <c:barChart>
        <c:barDir val="col"/>
        <c:grouping val="clustered"/>
        <c:ser>
          <c:idx val="0"/>
          <c:order val="0"/>
          <c:dLbls>
            <c:showVal val="1"/>
          </c:dLbls>
          <c:cat>
            <c:strRef>
              <c:f>'Search by Gender'!$A$278:$A$279</c:f>
              <c:strCache>
                <c:ptCount val="2"/>
                <c:pt idx="0">
                  <c:v>Yes</c:v>
                </c:pt>
                <c:pt idx="1">
                  <c:v>No</c:v>
                </c:pt>
              </c:strCache>
            </c:strRef>
          </c:cat>
          <c:val>
            <c:numRef>
              <c:f>'Search by Gender'!$D$278:$D$279</c:f>
              <c:numCache>
                <c:formatCode>0.0</c:formatCode>
                <c:ptCount val="2"/>
                <c:pt idx="0">
                  <c:v>0</c:v>
                </c:pt>
                <c:pt idx="1">
                  <c:v>0</c:v>
                </c:pt>
              </c:numCache>
            </c:numRef>
          </c:val>
        </c:ser>
        <c:dLbls/>
        <c:axId val="91690496"/>
        <c:axId val="91692032"/>
      </c:barChart>
      <c:catAx>
        <c:axId val="91690496"/>
        <c:scaling>
          <c:orientation val="minMax"/>
        </c:scaling>
        <c:axPos val="b"/>
        <c:numFmt formatCode="General" sourceLinked="1"/>
        <c:majorTickMark val="none"/>
        <c:tickLblPos val="nextTo"/>
        <c:crossAx val="91692032"/>
        <c:crosses val="autoZero"/>
        <c:auto val="1"/>
        <c:lblAlgn val="ctr"/>
        <c:lblOffset val="100"/>
      </c:catAx>
      <c:valAx>
        <c:axId val="91692032"/>
        <c:scaling>
          <c:orientation val="minMax"/>
          <c:max val="100"/>
        </c:scaling>
        <c:axPos val="l"/>
        <c:majorGridlines/>
        <c:numFmt formatCode="0.0" sourceLinked="1"/>
        <c:majorTickMark val="none"/>
        <c:tickLblPos val="nextTo"/>
        <c:crossAx val="91690496"/>
        <c:crosses val="autoZero"/>
        <c:crossBetween val="between"/>
      </c:valAx>
    </c:plotArea>
    <c:plotVisOnly val="1"/>
    <c:dispBlanksAs val="gap"/>
  </c:chart>
  <c:printSettings>
    <c:headerFooter/>
    <c:pageMargins b="0.75000000000000866" l="0.70000000000000062" r="0.70000000000000062" t="0.75000000000000866" header="0.30000000000000032" footer="0.30000000000000032"/>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c:lang val="en-IE"/>
  <c:chart>
    <c:title>
      <c:tx>
        <c:strRef>
          <c:f>'Search by Gender'!$A$285</c:f>
          <c:strCache>
            <c:ptCount val="1"/>
            <c:pt idx="0">
              <c:v>Information or advice received on Falls prevention during your visit</c:v>
            </c:pt>
          </c:strCache>
        </c:strRef>
      </c:tx>
    </c:title>
    <c:plotArea>
      <c:layout/>
      <c:barChart>
        <c:barDir val="col"/>
        <c:grouping val="clustered"/>
        <c:ser>
          <c:idx val="0"/>
          <c:order val="0"/>
          <c:dLbls>
            <c:showVal val="1"/>
          </c:dLbls>
          <c:cat>
            <c:strRef>
              <c:f>'Search by Gender'!$A$287:$A$288</c:f>
              <c:strCache>
                <c:ptCount val="2"/>
                <c:pt idx="0">
                  <c:v>Yes</c:v>
                </c:pt>
                <c:pt idx="1">
                  <c:v>No</c:v>
                </c:pt>
              </c:strCache>
            </c:strRef>
          </c:cat>
          <c:val>
            <c:numRef>
              <c:f>'Search by Gender'!$D$287:$D$288</c:f>
              <c:numCache>
                <c:formatCode>0.0</c:formatCode>
                <c:ptCount val="2"/>
                <c:pt idx="0">
                  <c:v>0</c:v>
                </c:pt>
                <c:pt idx="1">
                  <c:v>0</c:v>
                </c:pt>
              </c:numCache>
            </c:numRef>
          </c:val>
        </c:ser>
        <c:dLbls/>
        <c:axId val="91712512"/>
        <c:axId val="91742976"/>
      </c:barChart>
      <c:catAx>
        <c:axId val="91712512"/>
        <c:scaling>
          <c:orientation val="minMax"/>
        </c:scaling>
        <c:axPos val="b"/>
        <c:numFmt formatCode="General" sourceLinked="1"/>
        <c:majorTickMark val="none"/>
        <c:tickLblPos val="nextTo"/>
        <c:crossAx val="91742976"/>
        <c:crosses val="autoZero"/>
        <c:auto val="1"/>
        <c:lblAlgn val="ctr"/>
        <c:lblOffset val="100"/>
      </c:catAx>
      <c:valAx>
        <c:axId val="91742976"/>
        <c:scaling>
          <c:orientation val="minMax"/>
        </c:scaling>
        <c:axPos val="l"/>
        <c:majorGridlines/>
        <c:numFmt formatCode="0.0" sourceLinked="1"/>
        <c:majorTickMark val="none"/>
        <c:tickLblPos val="nextTo"/>
        <c:crossAx val="91712512"/>
        <c:crosses val="autoZero"/>
        <c:crossBetween val="between"/>
      </c:valAx>
    </c:plotArea>
    <c:plotVisOnly val="1"/>
    <c:dispBlanksAs val="gap"/>
  </c:chart>
  <c:printSettings>
    <c:headerFooter/>
    <c:pageMargins b="0.75000000000000888" l="0.70000000000000062" r="0.70000000000000062" t="0.75000000000000888" header="0.30000000000000032" footer="0.30000000000000032"/>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c:lang val="en-IE"/>
  <c:chart>
    <c:title>
      <c:tx>
        <c:strRef>
          <c:f>'Search by Gender'!$A$294</c:f>
          <c:strCache>
            <c:ptCount val="1"/>
            <c:pt idx="0">
              <c:v>Information or advice received on Drug use during your visit</c:v>
            </c:pt>
          </c:strCache>
        </c:strRef>
      </c:tx>
    </c:title>
    <c:plotArea>
      <c:layout/>
      <c:barChart>
        <c:barDir val="col"/>
        <c:grouping val="clustered"/>
        <c:ser>
          <c:idx val="0"/>
          <c:order val="0"/>
          <c:dLbls>
            <c:showVal val="1"/>
          </c:dLbls>
          <c:cat>
            <c:strRef>
              <c:f>'Search by Gender'!$A$296:$A$297</c:f>
              <c:strCache>
                <c:ptCount val="2"/>
                <c:pt idx="0">
                  <c:v>Yes</c:v>
                </c:pt>
                <c:pt idx="1">
                  <c:v>No</c:v>
                </c:pt>
              </c:strCache>
            </c:strRef>
          </c:cat>
          <c:val>
            <c:numRef>
              <c:f>'Search by Gender'!$D$296:$D$297</c:f>
              <c:numCache>
                <c:formatCode>0.0</c:formatCode>
                <c:ptCount val="2"/>
                <c:pt idx="0">
                  <c:v>0</c:v>
                </c:pt>
                <c:pt idx="1">
                  <c:v>0</c:v>
                </c:pt>
              </c:numCache>
            </c:numRef>
          </c:val>
        </c:ser>
        <c:dLbls/>
        <c:axId val="91648384"/>
        <c:axId val="91649920"/>
      </c:barChart>
      <c:catAx>
        <c:axId val="91648384"/>
        <c:scaling>
          <c:orientation val="minMax"/>
        </c:scaling>
        <c:axPos val="b"/>
        <c:numFmt formatCode="General" sourceLinked="1"/>
        <c:majorTickMark val="none"/>
        <c:tickLblPos val="nextTo"/>
        <c:crossAx val="91649920"/>
        <c:crosses val="autoZero"/>
        <c:auto val="1"/>
        <c:lblAlgn val="ctr"/>
        <c:lblOffset val="100"/>
      </c:catAx>
      <c:valAx>
        <c:axId val="91649920"/>
        <c:scaling>
          <c:orientation val="minMax"/>
          <c:max val="100"/>
        </c:scaling>
        <c:axPos val="l"/>
        <c:majorGridlines/>
        <c:numFmt formatCode="0.0" sourceLinked="1"/>
        <c:majorTickMark val="none"/>
        <c:tickLblPos val="nextTo"/>
        <c:crossAx val="91648384"/>
        <c:crosses val="autoZero"/>
        <c:crossBetween val="between"/>
      </c:valAx>
    </c:plotArea>
    <c:plotVisOnly val="1"/>
    <c:dispBlanksAs val="gap"/>
  </c:chart>
  <c:printSettings>
    <c:headerFooter/>
    <c:pageMargins b="0.7500000000000091" l="0.70000000000000062" r="0.70000000000000062" t="0.7500000000000091" header="0.30000000000000032" footer="0.30000000000000032"/>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c:lang val="en-IE"/>
  <c:chart>
    <c:title>
      <c:tx>
        <c:strRef>
          <c:f>'Search by Gender'!$A$303</c:f>
          <c:strCache>
            <c:ptCount val="1"/>
            <c:pt idx="0">
              <c:v>Information or advice received on Other issues during your visit today</c:v>
            </c:pt>
          </c:strCache>
        </c:strRef>
      </c:tx>
    </c:title>
    <c:plotArea>
      <c:layout/>
      <c:barChart>
        <c:barDir val="col"/>
        <c:grouping val="clustered"/>
        <c:ser>
          <c:idx val="0"/>
          <c:order val="0"/>
          <c:dLbls>
            <c:showVal val="1"/>
          </c:dLbls>
          <c:cat>
            <c:strRef>
              <c:f>'Search by Gender'!$A$305:$A$306</c:f>
              <c:strCache>
                <c:ptCount val="2"/>
                <c:pt idx="0">
                  <c:v>Yes</c:v>
                </c:pt>
                <c:pt idx="1">
                  <c:v>No</c:v>
                </c:pt>
              </c:strCache>
            </c:strRef>
          </c:cat>
          <c:val>
            <c:numRef>
              <c:f>'Search by Gender'!$D$305:$D$306</c:f>
              <c:numCache>
                <c:formatCode>0.0</c:formatCode>
                <c:ptCount val="2"/>
                <c:pt idx="0">
                  <c:v>0</c:v>
                </c:pt>
                <c:pt idx="1">
                  <c:v>0</c:v>
                </c:pt>
              </c:numCache>
            </c:numRef>
          </c:val>
        </c:ser>
        <c:dLbls/>
        <c:axId val="91751936"/>
        <c:axId val="91753472"/>
      </c:barChart>
      <c:catAx>
        <c:axId val="91751936"/>
        <c:scaling>
          <c:orientation val="minMax"/>
        </c:scaling>
        <c:axPos val="b"/>
        <c:numFmt formatCode="General" sourceLinked="1"/>
        <c:majorTickMark val="none"/>
        <c:tickLblPos val="nextTo"/>
        <c:crossAx val="91753472"/>
        <c:crosses val="autoZero"/>
        <c:auto val="1"/>
        <c:lblAlgn val="ctr"/>
        <c:lblOffset val="100"/>
      </c:catAx>
      <c:valAx>
        <c:axId val="91753472"/>
        <c:scaling>
          <c:orientation val="minMax"/>
          <c:max val="100"/>
        </c:scaling>
        <c:axPos val="l"/>
        <c:majorGridlines/>
        <c:numFmt formatCode="0.0" sourceLinked="1"/>
        <c:majorTickMark val="none"/>
        <c:tickLblPos val="nextTo"/>
        <c:crossAx val="91751936"/>
        <c:crosses val="autoZero"/>
        <c:crossBetween val="between"/>
      </c:valAx>
    </c:plotArea>
    <c:plotVisOnly val="1"/>
    <c:dispBlanksAs val="gap"/>
  </c:chart>
  <c:printSettings>
    <c:headerFooter/>
    <c:pageMargins b="0.75000000000000933" l="0.70000000000000062" r="0.70000000000000062" t="0.75000000000000933" header="0.30000000000000032" footer="0.30000000000000032"/>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c:lang val="en-IE"/>
  <c:chart>
    <c:title>
      <c:tx>
        <c:strRef>
          <c:f>'Search by Gender'!$A$312</c:f>
          <c:strCache>
            <c:ptCount val="1"/>
            <c:pt idx="0">
              <c:v>Patient highlighted other areas for information or advice</c:v>
            </c:pt>
          </c:strCache>
        </c:strRef>
      </c:tx>
    </c:title>
    <c:plotArea>
      <c:layout/>
      <c:barChart>
        <c:barDir val="col"/>
        <c:grouping val="clustered"/>
        <c:ser>
          <c:idx val="0"/>
          <c:order val="0"/>
          <c:dLbls>
            <c:showVal val="1"/>
          </c:dLbls>
          <c:cat>
            <c:strRef>
              <c:f>'Search by Gender'!$A$314:$A$315</c:f>
              <c:strCache>
                <c:ptCount val="2"/>
                <c:pt idx="0">
                  <c:v>Yes</c:v>
                </c:pt>
                <c:pt idx="1">
                  <c:v>No</c:v>
                </c:pt>
              </c:strCache>
            </c:strRef>
          </c:cat>
          <c:val>
            <c:numRef>
              <c:f>'Search by Gender'!$D$314:$D$315</c:f>
              <c:numCache>
                <c:formatCode>0.0</c:formatCode>
                <c:ptCount val="2"/>
                <c:pt idx="0">
                  <c:v>0</c:v>
                </c:pt>
                <c:pt idx="1">
                  <c:v>0</c:v>
                </c:pt>
              </c:numCache>
            </c:numRef>
          </c:val>
        </c:ser>
        <c:dLbls/>
        <c:axId val="91785856"/>
        <c:axId val="91795840"/>
      </c:barChart>
      <c:catAx>
        <c:axId val="91785856"/>
        <c:scaling>
          <c:orientation val="minMax"/>
        </c:scaling>
        <c:axPos val="b"/>
        <c:numFmt formatCode="General" sourceLinked="1"/>
        <c:majorTickMark val="none"/>
        <c:tickLblPos val="nextTo"/>
        <c:crossAx val="91795840"/>
        <c:crosses val="autoZero"/>
        <c:auto val="1"/>
        <c:lblAlgn val="ctr"/>
        <c:lblOffset val="100"/>
      </c:catAx>
      <c:valAx>
        <c:axId val="91795840"/>
        <c:scaling>
          <c:orientation val="minMax"/>
          <c:max val="100"/>
        </c:scaling>
        <c:axPos val="l"/>
        <c:majorGridlines/>
        <c:numFmt formatCode="0.0" sourceLinked="1"/>
        <c:majorTickMark val="none"/>
        <c:tickLblPos val="nextTo"/>
        <c:crossAx val="91785856"/>
        <c:crosses val="autoZero"/>
        <c:crossBetween val="between"/>
      </c:valAx>
    </c:plotArea>
    <c:plotVisOnly val="1"/>
    <c:dispBlanksAs val="gap"/>
  </c:chart>
  <c:printSettings>
    <c:headerFooter/>
    <c:pageMargins b="0.75000000000000955" l="0.70000000000000062" r="0.70000000000000062" t="0.75000000000000955" header="0.30000000000000032" footer="0.30000000000000032"/>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c:lang val="en-IE"/>
  <c:chart>
    <c:title>
      <c:tx>
        <c:strRef>
          <c:f>'Search by Gender'!$A$320</c:f>
          <c:strCache>
            <c:ptCount val="1"/>
            <c:pt idx="0">
              <c:v>Overall patient rating of their appointment on day of survey</c:v>
            </c:pt>
          </c:strCache>
        </c:strRef>
      </c:tx>
    </c:title>
    <c:plotArea>
      <c:layout/>
      <c:barChart>
        <c:barDir val="col"/>
        <c:grouping val="clustered"/>
        <c:ser>
          <c:idx val="0"/>
          <c:order val="0"/>
          <c:dLbls>
            <c:showVal val="1"/>
          </c:dLbls>
          <c:cat>
            <c:strRef>
              <c:f>'Search by Gender'!$A$322:$A$326</c:f>
              <c:strCache>
                <c:ptCount val="5"/>
                <c:pt idx="0">
                  <c:v>Excellent</c:v>
                </c:pt>
                <c:pt idx="1">
                  <c:v>Very Good</c:v>
                </c:pt>
                <c:pt idx="2">
                  <c:v>Good</c:v>
                </c:pt>
                <c:pt idx="3">
                  <c:v>Poor </c:v>
                </c:pt>
                <c:pt idx="4">
                  <c:v>Very Poor</c:v>
                </c:pt>
              </c:strCache>
            </c:strRef>
          </c:cat>
          <c:val>
            <c:numRef>
              <c:f>'Search by Gender'!$D$322:$D$326</c:f>
              <c:numCache>
                <c:formatCode>0.0</c:formatCode>
                <c:ptCount val="5"/>
                <c:pt idx="0">
                  <c:v>0</c:v>
                </c:pt>
                <c:pt idx="1">
                  <c:v>0</c:v>
                </c:pt>
                <c:pt idx="2">
                  <c:v>0</c:v>
                </c:pt>
                <c:pt idx="3">
                  <c:v>0</c:v>
                </c:pt>
                <c:pt idx="4">
                  <c:v>0</c:v>
                </c:pt>
              </c:numCache>
            </c:numRef>
          </c:val>
        </c:ser>
        <c:dLbls/>
        <c:axId val="91823488"/>
        <c:axId val="91829376"/>
      </c:barChart>
      <c:catAx>
        <c:axId val="91823488"/>
        <c:scaling>
          <c:orientation val="minMax"/>
        </c:scaling>
        <c:axPos val="b"/>
        <c:numFmt formatCode="General" sourceLinked="1"/>
        <c:majorTickMark val="none"/>
        <c:tickLblPos val="nextTo"/>
        <c:crossAx val="91829376"/>
        <c:crosses val="autoZero"/>
        <c:auto val="1"/>
        <c:lblAlgn val="ctr"/>
        <c:lblOffset val="100"/>
      </c:catAx>
      <c:valAx>
        <c:axId val="91829376"/>
        <c:scaling>
          <c:orientation val="minMax"/>
          <c:max val="100"/>
        </c:scaling>
        <c:axPos val="l"/>
        <c:majorGridlines/>
        <c:numFmt formatCode="0.0" sourceLinked="1"/>
        <c:majorTickMark val="none"/>
        <c:tickLblPos val="nextTo"/>
        <c:crossAx val="91823488"/>
        <c:crosses val="autoZero"/>
        <c:crossBetween val="between"/>
      </c:valAx>
    </c:plotArea>
    <c:plotVisOnly val="1"/>
    <c:dispBlanksAs val="gap"/>
  </c:chart>
  <c:printSettings>
    <c:headerFooter/>
    <c:pageMargins b="0.75000000000000977" l="0.70000000000000062" r="0.70000000000000062" t="0.75000000000000977" header="0.30000000000000032" footer="0.30000000000000032"/>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c:lang val="en-IE"/>
  <c:chart>
    <c:title>
      <c:tx>
        <c:strRef>
          <c:f>'Search by Gender'!$A$331</c:f>
          <c:strCache>
            <c:ptCount val="1"/>
            <c:pt idx="0">
              <c:v>Patient awareness of The National Healthcare Charter, ‘You and Your Health Service’</c:v>
            </c:pt>
          </c:strCache>
        </c:strRef>
      </c:tx>
    </c:title>
    <c:plotArea>
      <c:layout/>
      <c:barChart>
        <c:barDir val="col"/>
        <c:grouping val="clustered"/>
        <c:ser>
          <c:idx val="0"/>
          <c:order val="0"/>
          <c:dLbls>
            <c:showVal val="1"/>
          </c:dLbls>
          <c:cat>
            <c:strRef>
              <c:f>'Search by Gender'!$A$333:$A$334</c:f>
              <c:strCache>
                <c:ptCount val="2"/>
                <c:pt idx="0">
                  <c:v>Yes</c:v>
                </c:pt>
                <c:pt idx="1">
                  <c:v>No</c:v>
                </c:pt>
              </c:strCache>
            </c:strRef>
          </c:cat>
          <c:val>
            <c:numRef>
              <c:f>'Search by Gender'!$D$333:$D$334</c:f>
              <c:numCache>
                <c:formatCode>0.0</c:formatCode>
                <c:ptCount val="2"/>
                <c:pt idx="0">
                  <c:v>0</c:v>
                </c:pt>
                <c:pt idx="1">
                  <c:v>0</c:v>
                </c:pt>
              </c:numCache>
            </c:numRef>
          </c:val>
        </c:ser>
        <c:dLbls/>
        <c:axId val="91861760"/>
        <c:axId val="91863296"/>
      </c:barChart>
      <c:catAx>
        <c:axId val="91861760"/>
        <c:scaling>
          <c:orientation val="minMax"/>
        </c:scaling>
        <c:axPos val="b"/>
        <c:numFmt formatCode="General" sourceLinked="1"/>
        <c:majorTickMark val="none"/>
        <c:tickLblPos val="nextTo"/>
        <c:crossAx val="91863296"/>
        <c:crosses val="autoZero"/>
        <c:auto val="1"/>
        <c:lblAlgn val="ctr"/>
        <c:lblOffset val="100"/>
      </c:catAx>
      <c:valAx>
        <c:axId val="91863296"/>
        <c:scaling>
          <c:orientation val="minMax"/>
          <c:max val="100"/>
        </c:scaling>
        <c:axPos val="l"/>
        <c:majorGridlines/>
        <c:numFmt formatCode="0.0" sourceLinked="1"/>
        <c:majorTickMark val="none"/>
        <c:tickLblPos val="nextTo"/>
        <c:crossAx val="91861760"/>
        <c:crosses val="autoZero"/>
        <c:crossBetween val="between"/>
      </c:valAx>
    </c:plotArea>
    <c:plotVisOnly val="1"/>
    <c:dispBlanksAs val="gap"/>
  </c:chart>
  <c:printSettings>
    <c:headerFooter/>
    <c:pageMargins b="0.75000000000000999" l="0.70000000000000062" r="0.70000000000000062" t="0.75000000000000999" header="0.30000000000000032" footer="0.30000000000000032"/>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c:lang val="en-IE"/>
  <c:chart>
    <c:title>
      <c:tx>
        <c:strRef>
          <c:f>'Search by Gender'!$A$339</c:f>
          <c:strCache>
            <c:ptCount val="1"/>
            <c:pt idx="0">
              <c:v>Patient awareness of ‘Your Service Your Say’ (HSE Complaints Process)</c:v>
            </c:pt>
          </c:strCache>
        </c:strRef>
      </c:tx>
    </c:title>
    <c:plotArea>
      <c:layout/>
      <c:barChart>
        <c:barDir val="col"/>
        <c:grouping val="clustered"/>
        <c:ser>
          <c:idx val="0"/>
          <c:order val="0"/>
          <c:dLbls>
            <c:showVal val="1"/>
          </c:dLbls>
          <c:cat>
            <c:strRef>
              <c:f>'Search by Gender'!$A$341:$A$342</c:f>
              <c:strCache>
                <c:ptCount val="2"/>
                <c:pt idx="0">
                  <c:v>Yes</c:v>
                </c:pt>
                <c:pt idx="1">
                  <c:v>No</c:v>
                </c:pt>
              </c:strCache>
            </c:strRef>
          </c:cat>
          <c:val>
            <c:numRef>
              <c:f>'Search by Gender'!$D$341:$D$342</c:f>
              <c:numCache>
                <c:formatCode>0.0</c:formatCode>
                <c:ptCount val="2"/>
                <c:pt idx="0">
                  <c:v>0</c:v>
                </c:pt>
                <c:pt idx="1">
                  <c:v>0</c:v>
                </c:pt>
              </c:numCache>
            </c:numRef>
          </c:val>
        </c:ser>
        <c:dLbls/>
        <c:axId val="82720640"/>
        <c:axId val="82722176"/>
      </c:barChart>
      <c:catAx>
        <c:axId val="82720640"/>
        <c:scaling>
          <c:orientation val="minMax"/>
        </c:scaling>
        <c:axPos val="b"/>
        <c:numFmt formatCode="General" sourceLinked="1"/>
        <c:majorTickMark val="none"/>
        <c:tickLblPos val="nextTo"/>
        <c:crossAx val="82722176"/>
        <c:crosses val="autoZero"/>
        <c:auto val="1"/>
        <c:lblAlgn val="ctr"/>
        <c:lblOffset val="100"/>
      </c:catAx>
      <c:valAx>
        <c:axId val="82722176"/>
        <c:scaling>
          <c:orientation val="minMax"/>
          <c:max val="100"/>
        </c:scaling>
        <c:axPos val="l"/>
        <c:majorGridlines/>
        <c:numFmt formatCode="0.0" sourceLinked="1"/>
        <c:majorTickMark val="none"/>
        <c:tickLblPos val="nextTo"/>
        <c:crossAx val="82720640"/>
        <c:crosses val="autoZero"/>
        <c:crossBetween val="between"/>
      </c:valAx>
    </c:plotArea>
    <c:plotVisOnly val="1"/>
    <c:dispBlanksAs val="gap"/>
  </c:chart>
  <c:printSettings>
    <c:headerFooter/>
    <c:pageMargins b="0.75000000000001021" l="0.70000000000000062" r="0.70000000000000062" t="0.750000000000010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IE"/>
  <c:chart>
    <c:title>
      <c:tx>
        <c:rich>
          <a:bodyPr/>
          <a:lstStyle/>
          <a:p>
            <a:pPr>
              <a:defRPr/>
            </a:pPr>
            <a:r>
              <a:rPr lang="en-IE"/>
              <a:t>Patients experience acessing the service</a:t>
            </a:r>
          </a:p>
        </c:rich>
      </c:tx>
    </c:title>
    <c:plotArea>
      <c:layout/>
      <c:barChart>
        <c:barDir val="col"/>
        <c:grouping val="clustered"/>
        <c:ser>
          <c:idx val="1"/>
          <c:order val="0"/>
          <c:dLbls>
            <c:showVal val="1"/>
          </c:dLbls>
          <c:cat>
            <c:strRef>
              <c:f>OverallResults!$A$90:$A$96</c:f>
              <c:strCache>
                <c:ptCount val="7"/>
                <c:pt idx="0">
                  <c:v>I had no difficulties accessing the service.</c:v>
                </c:pt>
                <c:pt idx="1">
                  <c:v>The opening times were not suitable.</c:v>
                </c:pt>
                <c:pt idx="2">
                  <c:v>The waiting times for an appointment were too long.</c:v>
                </c:pt>
                <c:pt idx="3">
                  <c:v>The service I needed had not been available within the primary care team until now.</c:v>
                </c:pt>
                <c:pt idx="4">
                  <c:v>I could only get a referral to the service through another service.</c:v>
                </c:pt>
                <c:pt idx="5">
                  <c:v>Other difficulty</c:v>
                </c:pt>
                <c:pt idx="6">
                  <c:v>More than one difficulty</c:v>
                </c:pt>
              </c:strCache>
            </c:strRef>
          </c:cat>
          <c:val>
            <c:numRef>
              <c:f>OverallResults!$D$90:$D$96</c:f>
              <c:numCache>
                <c:formatCode>0.0</c:formatCode>
                <c:ptCount val="7"/>
                <c:pt idx="0">
                  <c:v>0</c:v>
                </c:pt>
                <c:pt idx="1">
                  <c:v>0</c:v>
                </c:pt>
                <c:pt idx="2">
                  <c:v>0</c:v>
                </c:pt>
                <c:pt idx="3">
                  <c:v>0</c:v>
                </c:pt>
                <c:pt idx="4">
                  <c:v>0</c:v>
                </c:pt>
                <c:pt idx="5">
                  <c:v>0</c:v>
                </c:pt>
                <c:pt idx="6">
                  <c:v>0</c:v>
                </c:pt>
              </c:numCache>
            </c:numRef>
          </c:val>
        </c:ser>
        <c:dLbls/>
        <c:axId val="79955072"/>
        <c:axId val="79956608"/>
      </c:barChart>
      <c:catAx>
        <c:axId val="79955072"/>
        <c:scaling>
          <c:orientation val="minMax"/>
        </c:scaling>
        <c:axPos val="b"/>
        <c:majorTickMark val="none"/>
        <c:tickLblPos val="nextTo"/>
        <c:txPr>
          <a:bodyPr/>
          <a:lstStyle/>
          <a:p>
            <a:pPr>
              <a:defRPr sz="800"/>
            </a:pPr>
            <a:endParaRPr lang="en-US"/>
          </a:p>
        </c:txPr>
        <c:crossAx val="79956608"/>
        <c:crosses val="autoZero"/>
        <c:auto val="1"/>
        <c:lblAlgn val="ctr"/>
        <c:lblOffset val="100"/>
      </c:catAx>
      <c:valAx>
        <c:axId val="79956608"/>
        <c:scaling>
          <c:orientation val="minMax"/>
          <c:max val="100"/>
        </c:scaling>
        <c:axPos val="l"/>
        <c:majorGridlines/>
        <c:numFmt formatCode="0.0" sourceLinked="1"/>
        <c:majorTickMark val="none"/>
        <c:tickLblPos val="nextTo"/>
        <c:crossAx val="79955072"/>
        <c:crosses val="autoZero"/>
        <c:crossBetween val="between"/>
      </c:valAx>
    </c:plotArea>
    <c:plotVisOnly val="1"/>
    <c:dispBlanksAs val="gap"/>
  </c:chart>
  <c:printSettings>
    <c:headerFooter/>
    <c:pageMargins b="0.75000000000000466" l="0.70000000000000062" r="0.70000000000000062" t="0.75000000000000466" header="0.30000000000000032" footer="0.30000000000000032"/>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c:lang val="en-IE"/>
  <c:chart>
    <c:title>
      <c:tx>
        <c:strRef>
          <c:f>'Search by Age'!$A$10</c:f>
          <c:strCache>
            <c:ptCount val="1"/>
            <c:pt idx="0">
              <c:v>Gender</c:v>
            </c:pt>
          </c:strCache>
        </c:strRef>
      </c:tx>
    </c:title>
    <c:plotArea>
      <c:layout/>
      <c:barChart>
        <c:barDir val="col"/>
        <c:grouping val="clustered"/>
        <c:ser>
          <c:idx val="1"/>
          <c:order val="0"/>
          <c:dLbls>
            <c:showVal val="1"/>
          </c:dLbls>
          <c:cat>
            <c:strRef>
              <c:f>'Search by Age'!$A$12:$A$14</c:f>
              <c:strCache>
                <c:ptCount val="3"/>
                <c:pt idx="0">
                  <c:v>Male</c:v>
                </c:pt>
                <c:pt idx="1">
                  <c:v>Female</c:v>
                </c:pt>
                <c:pt idx="2">
                  <c:v>Other</c:v>
                </c:pt>
              </c:strCache>
            </c:strRef>
          </c:cat>
          <c:val>
            <c:numRef>
              <c:f>'Search by Age'!$D$12:$D$14</c:f>
              <c:numCache>
                <c:formatCode>0.0</c:formatCode>
                <c:ptCount val="3"/>
                <c:pt idx="0">
                  <c:v>0</c:v>
                </c:pt>
                <c:pt idx="1">
                  <c:v>0</c:v>
                </c:pt>
                <c:pt idx="2">
                  <c:v>0</c:v>
                </c:pt>
              </c:numCache>
            </c:numRef>
          </c:val>
        </c:ser>
        <c:dLbls/>
        <c:axId val="99770368"/>
        <c:axId val="99771904"/>
      </c:barChart>
      <c:catAx>
        <c:axId val="99770368"/>
        <c:scaling>
          <c:orientation val="minMax"/>
        </c:scaling>
        <c:axPos val="b"/>
        <c:majorTickMark val="none"/>
        <c:tickLblPos val="nextTo"/>
        <c:crossAx val="99771904"/>
        <c:crosses val="autoZero"/>
        <c:auto val="1"/>
        <c:lblAlgn val="ctr"/>
        <c:lblOffset val="100"/>
      </c:catAx>
      <c:valAx>
        <c:axId val="99771904"/>
        <c:scaling>
          <c:orientation val="minMax"/>
          <c:max val="100"/>
        </c:scaling>
        <c:axPos val="l"/>
        <c:majorGridlines/>
        <c:numFmt formatCode="0.0" sourceLinked="1"/>
        <c:majorTickMark val="none"/>
        <c:tickLblPos val="nextTo"/>
        <c:crossAx val="99770368"/>
        <c:crosses val="autoZero"/>
        <c:crossBetween val="between"/>
      </c:valAx>
    </c:plotArea>
    <c:plotVisOnly val="1"/>
    <c:dispBlanksAs val="gap"/>
  </c:chart>
  <c:printSettings>
    <c:headerFooter/>
    <c:pageMargins b="0.750000000000004" l="0.70000000000000062" r="0.70000000000000062" t="0.750000000000004" header="0.30000000000000032" footer="0.30000000000000032"/>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c:lang val="en-IE"/>
  <c:chart>
    <c:title>
      <c:tx>
        <c:strRef>
          <c:f>'Search by Age'!$A$19</c:f>
          <c:strCache>
            <c:ptCount val="1"/>
            <c:pt idx="0">
              <c:v>Age category</c:v>
            </c:pt>
          </c:strCache>
        </c:strRef>
      </c:tx>
    </c:title>
    <c:plotArea>
      <c:layout/>
      <c:barChart>
        <c:barDir val="col"/>
        <c:grouping val="clustered"/>
        <c:ser>
          <c:idx val="0"/>
          <c:order val="0"/>
          <c:dLbls>
            <c:showVal val="1"/>
          </c:dLbls>
          <c:cat>
            <c:strRef>
              <c:f>'Search by Age'!$A$21:$A$26</c:f>
              <c:strCache>
                <c:ptCount val="6"/>
                <c:pt idx="0">
                  <c:v>Under 18 years of age</c:v>
                </c:pt>
                <c:pt idx="1">
                  <c:v>18-24yrs</c:v>
                </c:pt>
                <c:pt idx="2">
                  <c:v>25-44yrs</c:v>
                </c:pt>
                <c:pt idx="3">
                  <c:v>45-64yrs</c:v>
                </c:pt>
                <c:pt idx="4">
                  <c:v>65-74yrs</c:v>
                </c:pt>
                <c:pt idx="5">
                  <c:v>75 years +</c:v>
                </c:pt>
              </c:strCache>
            </c:strRef>
          </c:cat>
          <c:val>
            <c:numRef>
              <c:f>'Search by Age'!$D$21:$D$26</c:f>
              <c:numCache>
                <c:formatCode>0.0</c:formatCode>
                <c:ptCount val="6"/>
                <c:pt idx="0">
                  <c:v>0</c:v>
                </c:pt>
                <c:pt idx="1">
                  <c:v>0</c:v>
                </c:pt>
                <c:pt idx="2">
                  <c:v>0</c:v>
                </c:pt>
                <c:pt idx="3">
                  <c:v>0</c:v>
                </c:pt>
                <c:pt idx="4">
                  <c:v>0</c:v>
                </c:pt>
                <c:pt idx="5">
                  <c:v>0</c:v>
                </c:pt>
              </c:numCache>
            </c:numRef>
          </c:val>
        </c:ser>
        <c:dLbls/>
        <c:axId val="99800192"/>
        <c:axId val="99801728"/>
      </c:barChart>
      <c:catAx>
        <c:axId val="99800192"/>
        <c:scaling>
          <c:orientation val="minMax"/>
        </c:scaling>
        <c:axPos val="b"/>
        <c:majorTickMark val="none"/>
        <c:tickLblPos val="nextTo"/>
        <c:crossAx val="99801728"/>
        <c:crosses val="autoZero"/>
        <c:auto val="1"/>
        <c:lblAlgn val="ctr"/>
        <c:lblOffset val="100"/>
      </c:catAx>
      <c:valAx>
        <c:axId val="99801728"/>
        <c:scaling>
          <c:orientation val="minMax"/>
          <c:max val="100"/>
        </c:scaling>
        <c:axPos val="l"/>
        <c:majorGridlines/>
        <c:numFmt formatCode="0.0" sourceLinked="1"/>
        <c:majorTickMark val="none"/>
        <c:tickLblPos val="nextTo"/>
        <c:crossAx val="99800192"/>
        <c:crosses val="autoZero"/>
        <c:crossBetween val="between"/>
      </c:valAx>
    </c:plotArea>
    <c:plotVisOnly val="1"/>
    <c:dispBlanksAs val="gap"/>
  </c:chart>
  <c:printSettings>
    <c:headerFooter/>
    <c:pageMargins b="0.75000000000000422" l="0.70000000000000062" r="0.70000000000000062" t="0.75000000000000422" header="0.30000000000000032" footer="0.30000000000000032"/>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c:lang val="en-IE"/>
  <c:chart>
    <c:title>
      <c:tx>
        <c:strRef>
          <c:f>'Search by Age'!$A$32</c:f>
          <c:strCache>
            <c:ptCount val="1"/>
            <c:pt idx="0">
              <c:v>Holder of Health cards</c:v>
            </c:pt>
          </c:strCache>
        </c:strRef>
      </c:tx>
    </c:title>
    <c:plotArea>
      <c:layout/>
      <c:barChart>
        <c:barDir val="col"/>
        <c:grouping val="clustered"/>
        <c:ser>
          <c:idx val="1"/>
          <c:order val="0"/>
          <c:dLbls>
            <c:showVal val="1"/>
          </c:dLbls>
          <c:cat>
            <c:strRef>
              <c:f>'Search by Age'!$A$34:$A$42</c:f>
              <c:strCache>
                <c:ptCount val="9"/>
                <c:pt idx="0">
                  <c:v>Medical Card</c:v>
                </c:pt>
                <c:pt idx="1">
                  <c:v>GP Visit Card</c:v>
                </c:pt>
                <c:pt idx="2">
                  <c:v>Long-term Illness Card</c:v>
                </c:pt>
                <c:pt idx="3">
                  <c:v>Health Amendment Act Card</c:v>
                </c:pt>
                <c:pt idx="4">
                  <c:v>European Health Insurance Card</c:v>
                </c:pt>
                <c:pt idx="5">
                  <c:v>Drug Payment Scheme Card</c:v>
                </c:pt>
                <c:pt idx="6">
                  <c:v>Other</c:v>
                </c:pt>
                <c:pt idx="7">
                  <c:v>2 or more of the above cards</c:v>
                </c:pt>
                <c:pt idx="8">
                  <c:v>None of these</c:v>
                </c:pt>
              </c:strCache>
            </c:strRef>
          </c:cat>
          <c:val>
            <c:numRef>
              <c:f>'Search by Age'!$D$34:$D$42</c:f>
              <c:numCache>
                <c:formatCode>0.0</c:formatCode>
                <c:ptCount val="9"/>
                <c:pt idx="0">
                  <c:v>0</c:v>
                </c:pt>
                <c:pt idx="1">
                  <c:v>0</c:v>
                </c:pt>
                <c:pt idx="2">
                  <c:v>0</c:v>
                </c:pt>
                <c:pt idx="3">
                  <c:v>0</c:v>
                </c:pt>
                <c:pt idx="4">
                  <c:v>0</c:v>
                </c:pt>
                <c:pt idx="5">
                  <c:v>0</c:v>
                </c:pt>
                <c:pt idx="6">
                  <c:v>0</c:v>
                </c:pt>
                <c:pt idx="7">
                  <c:v>0</c:v>
                </c:pt>
                <c:pt idx="8">
                  <c:v>0</c:v>
                </c:pt>
              </c:numCache>
            </c:numRef>
          </c:val>
        </c:ser>
        <c:dLbls/>
        <c:axId val="99715328"/>
        <c:axId val="99717120"/>
      </c:barChart>
      <c:catAx>
        <c:axId val="99715328"/>
        <c:scaling>
          <c:orientation val="minMax"/>
        </c:scaling>
        <c:axPos val="b"/>
        <c:majorTickMark val="none"/>
        <c:tickLblPos val="nextTo"/>
        <c:crossAx val="99717120"/>
        <c:crosses val="autoZero"/>
        <c:auto val="1"/>
        <c:lblAlgn val="ctr"/>
        <c:lblOffset val="100"/>
      </c:catAx>
      <c:valAx>
        <c:axId val="99717120"/>
        <c:scaling>
          <c:orientation val="minMax"/>
          <c:max val="100"/>
        </c:scaling>
        <c:axPos val="l"/>
        <c:majorGridlines/>
        <c:numFmt formatCode="0.0" sourceLinked="1"/>
        <c:majorTickMark val="none"/>
        <c:tickLblPos val="nextTo"/>
        <c:crossAx val="99715328"/>
        <c:crosses val="autoZero"/>
        <c:crossBetween val="between"/>
      </c:valAx>
    </c:plotArea>
    <c:plotVisOnly val="1"/>
    <c:dispBlanksAs val="gap"/>
  </c:chart>
  <c:printSettings>
    <c:headerFooter/>
    <c:pageMargins b="0.75000000000000444" l="0.70000000000000062" r="0.70000000000000062" t="0.75000000000000444" header="0.30000000000000032" footer="0.30000000000000032"/>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c:lang val="en-IE"/>
  <c:chart>
    <c:title>
      <c:tx>
        <c:strRef>
          <c:f>'Search by Age'!$A$47</c:f>
          <c:strCache>
            <c:ptCount val="1"/>
            <c:pt idx="0">
              <c:v>Use of Interpreter Services</c:v>
            </c:pt>
          </c:strCache>
        </c:strRef>
      </c:tx>
    </c:title>
    <c:plotArea>
      <c:layout/>
      <c:barChart>
        <c:barDir val="col"/>
        <c:grouping val="clustered"/>
        <c:ser>
          <c:idx val="0"/>
          <c:order val="0"/>
          <c:dLbls>
            <c:showVal val="1"/>
          </c:dLbls>
          <c:cat>
            <c:strRef>
              <c:f>'Search by Age'!$A$49:$A$51</c:f>
              <c:strCache>
                <c:ptCount val="3"/>
                <c:pt idx="0">
                  <c:v>I did not use an interpreter for my appointment</c:v>
                </c:pt>
                <c:pt idx="1">
                  <c:v>I used a Sign interpreter</c:v>
                </c:pt>
                <c:pt idx="2">
                  <c:v>I used a Language interpreter</c:v>
                </c:pt>
              </c:strCache>
            </c:strRef>
          </c:cat>
          <c:val>
            <c:numRef>
              <c:f>'Search by Age'!$D$49:$D$51</c:f>
              <c:numCache>
                <c:formatCode>0.0</c:formatCode>
                <c:ptCount val="3"/>
                <c:pt idx="0">
                  <c:v>0</c:v>
                </c:pt>
                <c:pt idx="1">
                  <c:v>0</c:v>
                </c:pt>
                <c:pt idx="2">
                  <c:v>0</c:v>
                </c:pt>
              </c:numCache>
            </c:numRef>
          </c:val>
        </c:ser>
        <c:dLbls/>
        <c:axId val="99724672"/>
        <c:axId val="99812480"/>
      </c:barChart>
      <c:catAx>
        <c:axId val="99724672"/>
        <c:scaling>
          <c:orientation val="minMax"/>
        </c:scaling>
        <c:axPos val="b"/>
        <c:majorTickMark val="none"/>
        <c:tickLblPos val="nextTo"/>
        <c:crossAx val="99812480"/>
        <c:crosses val="autoZero"/>
        <c:auto val="1"/>
        <c:lblAlgn val="ctr"/>
        <c:lblOffset val="100"/>
      </c:catAx>
      <c:valAx>
        <c:axId val="99812480"/>
        <c:scaling>
          <c:orientation val="minMax"/>
          <c:max val="100"/>
        </c:scaling>
        <c:axPos val="l"/>
        <c:majorGridlines/>
        <c:numFmt formatCode="0.0" sourceLinked="1"/>
        <c:majorTickMark val="none"/>
        <c:tickLblPos val="nextTo"/>
        <c:crossAx val="99724672"/>
        <c:crosses val="autoZero"/>
        <c:crossBetween val="between"/>
      </c:valAx>
    </c:plotArea>
    <c:plotVisOnly val="1"/>
    <c:dispBlanksAs val="gap"/>
  </c:chart>
  <c:printSettings>
    <c:headerFooter/>
    <c:pageMargins b="0.75000000000000466" l="0.70000000000000062" r="0.70000000000000062" t="0.75000000000000466" header="0.30000000000000032" footer="0.30000000000000032"/>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c:lang val="en-IE"/>
  <c:chart>
    <c:title>
      <c:tx>
        <c:strRef>
          <c:f>'Search by Age'!$A$56</c:f>
          <c:strCache>
            <c:ptCount val="1"/>
            <c:pt idx="0">
              <c:v>Patients Country of Origin.</c:v>
            </c:pt>
          </c:strCache>
        </c:strRef>
      </c:tx>
    </c:title>
    <c:plotArea>
      <c:layout/>
      <c:barChart>
        <c:barDir val="col"/>
        <c:grouping val="clustered"/>
        <c:ser>
          <c:idx val="1"/>
          <c:order val="0"/>
          <c:dLbls>
            <c:showVal val="1"/>
          </c:dLbls>
          <c:cat>
            <c:strRef>
              <c:f>'Search by Age'!$A$58:$A$62</c:f>
              <c:strCache>
                <c:ptCount val="5"/>
                <c:pt idx="0">
                  <c:v>Ireland</c:v>
                </c:pt>
                <c:pt idx="1">
                  <c:v>United Kingdom</c:v>
                </c:pt>
                <c:pt idx="2">
                  <c:v>EU</c:v>
                </c:pt>
                <c:pt idx="3">
                  <c:v>Non-EU</c:v>
                </c:pt>
                <c:pt idx="4">
                  <c:v>Other</c:v>
                </c:pt>
              </c:strCache>
            </c:strRef>
          </c:cat>
          <c:val>
            <c:numRef>
              <c:f>'Search by Age'!$D$58:$D$62</c:f>
              <c:numCache>
                <c:formatCode>0.0</c:formatCode>
                <c:ptCount val="5"/>
                <c:pt idx="0">
                  <c:v>0</c:v>
                </c:pt>
                <c:pt idx="1">
                  <c:v>0</c:v>
                </c:pt>
                <c:pt idx="2">
                  <c:v>0</c:v>
                </c:pt>
                <c:pt idx="3">
                  <c:v>0</c:v>
                </c:pt>
                <c:pt idx="4">
                  <c:v>0</c:v>
                </c:pt>
              </c:numCache>
            </c:numRef>
          </c:val>
        </c:ser>
        <c:dLbls/>
        <c:axId val="99840768"/>
        <c:axId val="99842304"/>
      </c:barChart>
      <c:catAx>
        <c:axId val="99840768"/>
        <c:scaling>
          <c:orientation val="minMax"/>
        </c:scaling>
        <c:axPos val="b"/>
        <c:majorTickMark val="none"/>
        <c:tickLblPos val="nextTo"/>
        <c:crossAx val="99842304"/>
        <c:crosses val="autoZero"/>
        <c:auto val="1"/>
        <c:lblAlgn val="ctr"/>
        <c:lblOffset val="100"/>
      </c:catAx>
      <c:valAx>
        <c:axId val="99842304"/>
        <c:scaling>
          <c:orientation val="minMax"/>
          <c:max val="100"/>
        </c:scaling>
        <c:axPos val="l"/>
        <c:majorGridlines/>
        <c:numFmt formatCode="0.0" sourceLinked="1"/>
        <c:majorTickMark val="none"/>
        <c:tickLblPos val="nextTo"/>
        <c:crossAx val="99840768"/>
        <c:crosses val="autoZero"/>
        <c:crossBetween val="between"/>
      </c:valAx>
    </c:plotArea>
    <c:plotVisOnly val="1"/>
    <c:dispBlanksAs val="gap"/>
  </c:chart>
  <c:printSettings>
    <c:headerFooter/>
    <c:pageMargins b="0.75000000000000488" l="0.70000000000000062" r="0.70000000000000062" t="0.75000000000000488" header="0.30000000000000032" footer="0.30000000000000032"/>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c:lang val="en-IE"/>
  <c:chart>
    <c:title>
      <c:tx>
        <c:strRef>
          <c:f>'Search by Age'!$A$67</c:f>
          <c:strCache>
            <c:ptCount val="1"/>
            <c:pt idx="0">
              <c:v>Primary Care Team services attended on day of survey</c:v>
            </c:pt>
          </c:strCache>
        </c:strRef>
      </c:tx>
    </c:title>
    <c:plotArea>
      <c:layout/>
      <c:barChart>
        <c:barDir val="col"/>
        <c:grouping val="clustered"/>
        <c:ser>
          <c:idx val="0"/>
          <c:order val="0"/>
          <c:dLbls>
            <c:showVal val="1"/>
          </c:dLbls>
          <c:cat>
            <c:strRef>
              <c:f>'Search by Age'!$A$69:$A$85</c:f>
              <c:strCache>
                <c:ptCount val="17"/>
                <c:pt idx="0">
                  <c:v>GP</c:v>
                </c:pt>
                <c:pt idx="1">
                  <c:v>Practice Nurse</c:v>
                </c:pt>
                <c:pt idx="2">
                  <c:v>Public Health Nurse or Community Nurse</c:v>
                </c:pt>
                <c:pt idx="3">
                  <c:v>Physiotherapist</c:v>
                </c:pt>
                <c:pt idx="4">
                  <c:v>Occupational Therapist</c:v>
                </c:pt>
                <c:pt idx="5">
                  <c:v>SLT</c:v>
                </c:pt>
                <c:pt idx="6">
                  <c:v>Dentist</c:v>
                </c:pt>
                <c:pt idx="7">
                  <c:v>Dental Hygienist/ Nurse</c:v>
                </c:pt>
                <c:pt idx="8">
                  <c:v>Podiatrist/ Chiropodist</c:v>
                </c:pt>
                <c:pt idx="9">
                  <c:v>Dietician</c:v>
                </c:pt>
                <c:pt idx="10">
                  <c:v>Psychology</c:v>
                </c:pt>
                <c:pt idx="11">
                  <c:v>Orthodontic</c:v>
                </c:pt>
                <c:pt idx="12">
                  <c:v>Social Work</c:v>
                </c:pt>
                <c:pt idx="13">
                  <c:v>Ophthalmic</c:v>
                </c:pt>
                <c:pt idx="14">
                  <c:v>Audiology</c:v>
                </c:pt>
                <c:pt idx="15">
                  <c:v>Another service</c:v>
                </c:pt>
                <c:pt idx="16">
                  <c:v>Attended more than one service</c:v>
                </c:pt>
              </c:strCache>
            </c:strRef>
          </c:cat>
          <c:val>
            <c:numRef>
              <c:f>'Search by Age'!$D$69:$D$85</c:f>
              <c:numCache>
                <c:formatCode>0.0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ser>
        <c:dLbls/>
        <c:axId val="99866496"/>
        <c:axId val="99868032"/>
      </c:barChart>
      <c:catAx>
        <c:axId val="99866496"/>
        <c:scaling>
          <c:orientation val="minMax"/>
        </c:scaling>
        <c:axPos val="b"/>
        <c:majorTickMark val="none"/>
        <c:tickLblPos val="nextTo"/>
        <c:crossAx val="99868032"/>
        <c:crosses val="autoZero"/>
        <c:auto val="1"/>
        <c:lblAlgn val="ctr"/>
        <c:lblOffset val="100"/>
      </c:catAx>
      <c:valAx>
        <c:axId val="99868032"/>
        <c:scaling>
          <c:orientation val="minMax"/>
          <c:max val="100"/>
        </c:scaling>
        <c:axPos val="l"/>
        <c:majorGridlines/>
        <c:numFmt formatCode="0.0" sourceLinked="1"/>
        <c:majorTickMark val="none"/>
        <c:tickLblPos val="nextTo"/>
        <c:crossAx val="99866496"/>
        <c:crosses val="autoZero"/>
        <c:crossBetween val="between"/>
      </c:valAx>
    </c:plotArea>
    <c:plotVisOnly val="1"/>
    <c:dispBlanksAs val="gap"/>
  </c:chart>
  <c:printSettings>
    <c:headerFooter/>
    <c:pageMargins b="0.75000000000000511" l="0.70000000000000062" r="0.70000000000000062" t="0.75000000000000511" header="0.30000000000000032" footer="0.30000000000000032"/>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c:lang val="en-IE"/>
  <c:chart>
    <c:title>
      <c:tx>
        <c:strRef>
          <c:f>'Search by Age'!$A$90</c:f>
          <c:strCache>
            <c:ptCount val="1"/>
            <c:pt idx="0">
              <c:v>Patient's experience of accessing the service</c:v>
            </c:pt>
          </c:strCache>
        </c:strRef>
      </c:tx>
    </c:title>
    <c:plotArea>
      <c:layout/>
      <c:barChart>
        <c:barDir val="col"/>
        <c:grouping val="clustered"/>
        <c:ser>
          <c:idx val="1"/>
          <c:order val="0"/>
          <c:dLbls>
            <c:showVal val="1"/>
          </c:dLbls>
          <c:cat>
            <c:strRef>
              <c:f>'Search by Age'!$A$92:$A$98</c:f>
              <c:strCache>
                <c:ptCount val="7"/>
                <c:pt idx="0">
                  <c:v>I had no difficulties accessing the service.</c:v>
                </c:pt>
                <c:pt idx="1">
                  <c:v>The opening times were not suitable.</c:v>
                </c:pt>
                <c:pt idx="2">
                  <c:v>The waiting times for an appointment were too long.</c:v>
                </c:pt>
                <c:pt idx="3">
                  <c:v>The service I needed had not been available within the primary care team until now.</c:v>
                </c:pt>
                <c:pt idx="4">
                  <c:v>I could only get a referral to the service through another service.</c:v>
                </c:pt>
                <c:pt idx="5">
                  <c:v>Other difficulty</c:v>
                </c:pt>
                <c:pt idx="6">
                  <c:v>More than one difficulty</c:v>
                </c:pt>
              </c:strCache>
            </c:strRef>
          </c:cat>
          <c:val>
            <c:numRef>
              <c:f>'Search by Age'!$D$92:$D$98</c:f>
              <c:numCache>
                <c:formatCode>0.0</c:formatCode>
                <c:ptCount val="7"/>
                <c:pt idx="0">
                  <c:v>0</c:v>
                </c:pt>
                <c:pt idx="1">
                  <c:v>0</c:v>
                </c:pt>
                <c:pt idx="2">
                  <c:v>0</c:v>
                </c:pt>
                <c:pt idx="3">
                  <c:v>0</c:v>
                </c:pt>
                <c:pt idx="4">
                  <c:v>0</c:v>
                </c:pt>
                <c:pt idx="5">
                  <c:v>0</c:v>
                </c:pt>
                <c:pt idx="6">
                  <c:v>0</c:v>
                </c:pt>
              </c:numCache>
            </c:numRef>
          </c:val>
        </c:ser>
        <c:dLbls/>
        <c:axId val="99996032"/>
        <c:axId val="99997568"/>
      </c:barChart>
      <c:catAx>
        <c:axId val="99996032"/>
        <c:scaling>
          <c:orientation val="minMax"/>
        </c:scaling>
        <c:axPos val="b"/>
        <c:majorTickMark val="none"/>
        <c:tickLblPos val="nextTo"/>
        <c:txPr>
          <a:bodyPr/>
          <a:lstStyle/>
          <a:p>
            <a:pPr>
              <a:defRPr sz="800"/>
            </a:pPr>
            <a:endParaRPr lang="en-US"/>
          </a:p>
        </c:txPr>
        <c:crossAx val="99997568"/>
        <c:crosses val="autoZero"/>
        <c:auto val="1"/>
        <c:lblAlgn val="ctr"/>
        <c:lblOffset val="100"/>
      </c:catAx>
      <c:valAx>
        <c:axId val="99997568"/>
        <c:scaling>
          <c:orientation val="minMax"/>
          <c:max val="100"/>
        </c:scaling>
        <c:axPos val="l"/>
        <c:majorGridlines/>
        <c:numFmt formatCode="0.0" sourceLinked="1"/>
        <c:majorTickMark val="none"/>
        <c:tickLblPos val="nextTo"/>
        <c:crossAx val="99996032"/>
        <c:crosses val="autoZero"/>
        <c:crossBetween val="between"/>
      </c:valAx>
    </c:plotArea>
    <c:plotVisOnly val="1"/>
    <c:dispBlanksAs val="gap"/>
  </c:chart>
  <c:printSettings>
    <c:headerFooter/>
    <c:pageMargins b="0.75000000000000533" l="0.70000000000000062" r="0.70000000000000062" t="0.75000000000000533" header="0.30000000000000032" footer="0.30000000000000032"/>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c:lang val="en-IE"/>
  <c:chart>
    <c:title>
      <c:tx>
        <c:strRef>
          <c:f>'Search by Age'!$A$103</c:f>
          <c:strCache>
            <c:ptCount val="1"/>
            <c:pt idx="0">
              <c:v>Place of patient's appointment</c:v>
            </c:pt>
          </c:strCache>
        </c:strRef>
      </c:tx>
    </c:title>
    <c:plotArea>
      <c:layout/>
      <c:barChart>
        <c:barDir val="col"/>
        <c:grouping val="clustered"/>
        <c:ser>
          <c:idx val="0"/>
          <c:order val="0"/>
          <c:dLbls>
            <c:showVal val="1"/>
          </c:dLbls>
          <c:cat>
            <c:strRef>
              <c:f>'Search by Age'!$A$105:$A$108</c:f>
              <c:strCache>
                <c:ptCount val="4"/>
                <c:pt idx="0">
                  <c:v>Primary Care Health Centre</c:v>
                </c:pt>
                <c:pt idx="1">
                  <c:v>GP Surgery</c:v>
                </c:pt>
                <c:pt idx="2">
                  <c:v>Patient's Home</c:v>
                </c:pt>
                <c:pt idx="3">
                  <c:v>Another location</c:v>
                </c:pt>
              </c:strCache>
            </c:strRef>
          </c:cat>
          <c:val>
            <c:numRef>
              <c:f>'Search by Age'!$D$105:$D$108</c:f>
              <c:numCache>
                <c:formatCode>0.0</c:formatCode>
                <c:ptCount val="4"/>
                <c:pt idx="0">
                  <c:v>0</c:v>
                </c:pt>
                <c:pt idx="1">
                  <c:v>0</c:v>
                </c:pt>
                <c:pt idx="2">
                  <c:v>0</c:v>
                </c:pt>
                <c:pt idx="3">
                  <c:v>0</c:v>
                </c:pt>
              </c:numCache>
            </c:numRef>
          </c:val>
        </c:ser>
        <c:dLbls/>
        <c:axId val="99919360"/>
        <c:axId val="99920896"/>
      </c:barChart>
      <c:catAx>
        <c:axId val="99919360"/>
        <c:scaling>
          <c:orientation val="minMax"/>
        </c:scaling>
        <c:axPos val="b"/>
        <c:majorTickMark val="none"/>
        <c:tickLblPos val="nextTo"/>
        <c:crossAx val="99920896"/>
        <c:crosses val="autoZero"/>
        <c:auto val="1"/>
        <c:lblAlgn val="ctr"/>
        <c:lblOffset val="100"/>
      </c:catAx>
      <c:valAx>
        <c:axId val="99920896"/>
        <c:scaling>
          <c:orientation val="minMax"/>
          <c:max val="100"/>
        </c:scaling>
        <c:axPos val="l"/>
        <c:majorGridlines/>
        <c:numFmt formatCode="0.0" sourceLinked="1"/>
        <c:majorTickMark val="none"/>
        <c:tickLblPos val="nextTo"/>
        <c:crossAx val="99919360"/>
        <c:crosses val="autoZero"/>
        <c:crossBetween val="between"/>
      </c:valAx>
    </c:plotArea>
    <c:plotVisOnly val="1"/>
    <c:dispBlanksAs val="gap"/>
  </c:chart>
  <c:txPr>
    <a:bodyPr/>
    <a:lstStyle/>
    <a:p>
      <a:pPr>
        <a:defRPr b="1"/>
      </a:pPr>
      <a:endParaRPr lang="en-US"/>
    </a:p>
  </c:txPr>
  <c:printSettings>
    <c:headerFooter/>
    <c:pageMargins b="0.75000000000000555" l="0.70000000000000062" r="0.70000000000000062" t="0.75000000000000555" header="0.30000000000000032" footer="0.30000000000000032"/>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c:lang val="en-IE"/>
  <c:chart>
    <c:title>
      <c:tx>
        <c:strRef>
          <c:f>'Search by Age'!$A$113</c:f>
          <c:strCache>
            <c:ptCount val="1"/>
            <c:pt idx="0">
              <c:v>Suitability of appointment time</c:v>
            </c:pt>
          </c:strCache>
        </c:strRef>
      </c:tx>
    </c:title>
    <c:plotArea>
      <c:layout/>
      <c:barChart>
        <c:barDir val="col"/>
        <c:grouping val="clustered"/>
        <c:ser>
          <c:idx val="1"/>
          <c:order val="0"/>
          <c:dLbls>
            <c:showVal val="1"/>
          </c:dLbls>
          <c:cat>
            <c:strRef>
              <c:f>'Search by Age'!$A$115:$A$119</c:f>
              <c:strCache>
                <c:ptCount val="5"/>
                <c:pt idx="0">
                  <c:v>The appointment time given to me was most suitable.</c:v>
                </c:pt>
                <c:pt idx="1">
                  <c:v>I would have preferred an appointment time before 9am.</c:v>
                </c:pt>
                <c:pt idx="2">
                  <c:v>I would have preferred an appointment time from 12pm-1pm.</c:v>
                </c:pt>
                <c:pt idx="3">
                  <c:v>I would have preferred an appointment time from 1pm-2pm.</c:v>
                </c:pt>
                <c:pt idx="4">
                  <c:v>I would have preferred an appointment time after 5pm.</c:v>
                </c:pt>
              </c:strCache>
            </c:strRef>
          </c:cat>
          <c:val>
            <c:numRef>
              <c:f>'Search by Age'!$D$115:$D$119</c:f>
              <c:numCache>
                <c:formatCode>0.0</c:formatCode>
                <c:ptCount val="5"/>
                <c:pt idx="0">
                  <c:v>0</c:v>
                </c:pt>
                <c:pt idx="1">
                  <c:v>0</c:v>
                </c:pt>
                <c:pt idx="2">
                  <c:v>0</c:v>
                </c:pt>
                <c:pt idx="3">
                  <c:v>0</c:v>
                </c:pt>
                <c:pt idx="4">
                  <c:v>0</c:v>
                </c:pt>
              </c:numCache>
            </c:numRef>
          </c:val>
        </c:ser>
        <c:dLbls/>
        <c:axId val="99939840"/>
        <c:axId val="99941376"/>
      </c:barChart>
      <c:catAx>
        <c:axId val="99939840"/>
        <c:scaling>
          <c:orientation val="minMax"/>
        </c:scaling>
        <c:axPos val="b"/>
        <c:majorTickMark val="none"/>
        <c:tickLblPos val="nextTo"/>
        <c:crossAx val="99941376"/>
        <c:crosses val="autoZero"/>
        <c:auto val="1"/>
        <c:lblAlgn val="ctr"/>
        <c:lblOffset val="100"/>
      </c:catAx>
      <c:valAx>
        <c:axId val="99941376"/>
        <c:scaling>
          <c:orientation val="minMax"/>
          <c:max val="100"/>
        </c:scaling>
        <c:axPos val="l"/>
        <c:majorGridlines/>
        <c:numFmt formatCode="0.0" sourceLinked="1"/>
        <c:majorTickMark val="none"/>
        <c:tickLblPos val="nextTo"/>
        <c:crossAx val="99939840"/>
        <c:crosses val="autoZero"/>
        <c:crossBetween val="between"/>
      </c:valAx>
    </c:plotArea>
    <c:plotVisOnly val="1"/>
    <c:dispBlanksAs val="gap"/>
  </c:chart>
  <c:printSettings>
    <c:headerFooter/>
    <c:pageMargins b="0.75000000000000577" l="0.70000000000000062" r="0.70000000000000062" t="0.75000000000000577" header="0.30000000000000032" footer="0.30000000000000032"/>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c:lang val="en-IE"/>
  <c:chart>
    <c:title>
      <c:tx>
        <c:strRef>
          <c:f>'Search by Age'!$A$124</c:f>
          <c:strCache>
            <c:ptCount val="1"/>
            <c:pt idx="0">
              <c:v>Ease of access and use of the building during visit</c:v>
            </c:pt>
          </c:strCache>
        </c:strRef>
      </c:tx>
    </c:title>
    <c:plotArea>
      <c:layout/>
      <c:barChart>
        <c:barDir val="col"/>
        <c:grouping val="clustered"/>
        <c:ser>
          <c:idx val="0"/>
          <c:order val="0"/>
          <c:dLbls>
            <c:showVal val="1"/>
          </c:dLbls>
          <c:cat>
            <c:strRef>
              <c:f>'Search by Age'!$A$126:$A$129</c:f>
              <c:strCache>
                <c:ptCount val="4"/>
                <c:pt idx="0">
                  <c:v>Very easy</c:v>
                </c:pt>
                <c:pt idx="1">
                  <c:v>Easy</c:v>
                </c:pt>
                <c:pt idx="2">
                  <c:v>Difficult</c:v>
                </c:pt>
                <c:pt idx="3">
                  <c:v>Very difficult</c:v>
                </c:pt>
              </c:strCache>
            </c:strRef>
          </c:cat>
          <c:val>
            <c:numRef>
              <c:f>'Search by Age'!$D$126:$D$129</c:f>
              <c:numCache>
                <c:formatCode>0.0</c:formatCode>
                <c:ptCount val="4"/>
                <c:pt idx="0">
                  <c:v>0</c:v>
                </c:pt>
                <c:pt idx="1">
                  <c:v>0</c:v>
                </c:pt>
                <c:pt idx="2">
                  <c:v>0</c:v>
                </c:pt>
                <c:pt idx="3">
                  <c:v>0</c:v>
                </c:pt>
              </c:numCache>
            </c:numRef>
          </c:val>
        </c:ser>
        <c:dLbls/>
        <c:axId val="100022912"/>
        <c:axId val="100032896"/>
      </c:barChart>
      <c:catAx>
        <c:axId val="100022912"/>
        <c:scaling>
          <c:orientation val="minMax"/>
        </c:scaling>
        <c:axPos val="b"/>
        <c:majorTickMark val="none"/>
        <c:tickLblPos val="nextTo"/>
        <c:crossAx val="100032896"/>
        <c:crosses val="autoZero"/>
        <c:auto val="1"/>
        <c:lblAlgn val="ctr"/>
        <c:lblOffset val="100"/>
      </c:catAx>
      <c:valAx>
        <c:axId val="100032896"/>
        <c:scaling>
          <c:orientation val="minMax"/>
          <c:max val="100"/>
        </c:scaling>
        <c:axPos val="l"/>
        <c:majorGridlines/>
        <c:numFmt formatCode="0.0" sourceLinked="1"/>
        <c:majorTickMark val="none"/>
        <c:tickLblPos val="nextTo"/>
        <c:crossAx val="100022912"/>
        <c:crosses val="autoZero"/>
        <c:crossBetween val="between"/>
      </c:valAx>
    </c:plotArea>
    <c:plotVisOnly val="1"/>
    <c:dispBlanksAs val="gap"/>
  </c:chart>
  <c:printSettings>
    <c:headerFooter/>
    <c:pageMargins b="0.750000000000006" l="0.70000000000000062" r="0.70000000000000062" t="0.750000000000006"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IE"/>
  <c:chart>
    <c:title>
      <c:tx>
        <c:rich>
          <a:bodyPr/>
          <a:lstStyle/>
          <a:p>
            <a:pPr>
              <a:defRPr/>
            </a:pPr>
            <a:r>
              <a:rPr lang="en-IE"/>
              <a:t>Place of Patients appointment</a:t>
            </a:r>
          </a:p>
        </c:rich>
      </c:tx>
    </c:title>
    <c:plotArea>
      <c:layout/>
      <c:barChart>
        <c:barDir val="col"/>
        <c:grouping val="clustered"/>
        <c:ser>
          <c:idx val="0"/>
          <c:order val="0"/>
          <c:dLbls>
            <c:showVal val="1"/>
          </c:dLbls>
          <c:cat>
            <c:strRef>
              <c:f>OverallResults!$A$103:$A$106</c:f>
              <c:strCache>
                <c:ptCount val="4"/>
                <c:pt idx="0">
                  <c:v>Primary Care Health Centre</c:v>
                </c:pt>
                <c:pt idx="1">
                  <c:v>GP Surgery</c:v>
                </c:pt>
                <c:pt idx="2">
                  <c:v>Patient's Home</c:v>
                </c:pt>
                <c:pt idx="3">
                  <c:v>Another location</c:v>
                </c:pt>
              </c:strCache>
            </c:strRef>
          </c:cat>
          <c:val>
            <c:numRef>
              <c:f>OverallResults!$D$103:$D$106</c:f>
              <c:numCache>
                <c:formatCode>0.0</c:formatCode>
                <c:ptCount val="4"/>
                <c:pt idx="0">
                  <c:v>0</c:v>
                </c:pt>
                <c:pt idx="1">
                  <c:v>0</c:v>
                </c:pt>
                <c:pt idx="2">
                  <c:v>0</c:v>
                </c:pt>
                <c:pt idx="3">
                  <c:v>0</c:v>
                </c:pt>
              </c:numCache>
            </c:numRef>
          </c:val>
        </c:ser>
        <c:dLbls/>
        <c:axId val="79996032"/>
        <c:axId val="79997568"/>
      </c:barChart>
      <c:catAx>
        <c:axId val="79996032"/>
        <c:scaling>
          <c:orientation val="minMax"/>
        </c:scaling>
        <c:axPos val="b"/>
        <c:majorTickMark val="none"/>
        <c:tickLblPos val="nextTo"/>
        <c:crossAx val="79997568"/>
        <c:crosses val="autoZero"/>
        <c:auto val="1"/>
        <c:lblAlgn val="ctr"/>
        <c:lblOffset val="100"/>
      </c:catAx>
      <c:valAx>
        <c:axId val="79997568"/>
        <c:scaling>
          <c:orientation val="minMax"/>
          <c:max val="100"/>
        </c:scaling>
        <c:axPos val="l"/>
        <c:majorGridlines/>
        <c:numFmt formatCode="0.0" sourceLinked="1"/>
        <c:majorTickMark val="none"/>
        <c:tickLblPos val="nextTo"/>
        <c:crossAx val="79996032"/>
        <c:crosses val="autoZero"/>
        <c:crossBetween val="between"/>
      </c:valAx>
    </c:plotArea>
    <c:plotVisOnly val="1"/>
    <c:dispBlanksAs val="gap"/>
  </c:chart>
  <c:printSettings>
    <c:headerFooter/>
    <c:pageMargins b="0.75000000000000488" l="0.70000000000000062" r="0.70000000000000062" t="0.75000000000000488" header="0.30000000000000032" footer="0.30000000000000032"/>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c:lang val="en-IE"/>
  <c:chart>
    <c:title>
      <c:tx>
        <c:strRef>
          <c:f>'Search by Age'!$A$135</c:f>
          <c:strCache>
            <c:ptCount val="1"/>
            <c:pt idx="0">
              <c:v>Buildings and facilities cleanliness and tidiness</c:v>
            </c:pt>
          </c:strCache>
        </c:strRef>
      </c:tx>
    </c:title>
    <c:plotArea>
      <c:layout/>
      <c:barChart>
        <c:barDir val="col"/>
        <c:grouping val="clustered"/>
        <c:ser>
          <c:idx val="0"/>
          <c:order val="0"/>
          <c:dLbls>
            <c:showVal val="1"/>
          </c:dLbls>
          <c:cat>
            <c:strRef>
              <c:f>'Search by Age'!$A$137:$A$138</c:f>
              <c:strCache>
                <c:ptCount val="2"/>
                <c:pt idx="0">
                  <c:v>Yes</c:v>
                </c:pt>
                <c:pt idx="1">
                  <c:v>No</c:v>
                </c:pt>
              </c:strCache>
            </c:strRef>
          </c:cat>
          <c:val>
            <c:numRef>
              <c:f>'Search by Age'!$D$137:$D$138</c:f>
              <c:numCache>
                <c:formatCode>0.0</c:formatCode>
                <c:ptCount val="2"/>
                <c:pt idx="0">
                  <c:v>0</c:v>
                </c:pt>
                <c:pt idx="1">
                  <c:v>0</c:v>
                </c:pt>
              </c:numCache>
            </c:numRef>
          </c:val>
        </c:ser>
        <c:dLbls/>
        <c:axId val="100069376"/>
        <c:axId val="100070912"/>
      </c:barChart>
      <c:catAx>
        <c:axId val="100069376"/>
        <c:scaling>
          <c:orientation val="minMax"/>
        </c:scaling>
        <c:axPos val="b"/>
        <c:majorTickMark val="none"/>
        <c:tickLblPos val="nextTo"/>
        <c:crossAx val="100070912"/>
        <c:crosses val="autoZero"/>
        <c:auto val="1"/>
        <c:lblAlgn val="ctr"/>
        <c:lblOffset val="100"/>
      </c:catAx>
      <c:valAx>
        <c:axId val="100070912"/>
        <c:scaling>
          <c:orientation val="minMax"/>
          <c:max val="100"/>
        </c:scaling>
        <c:axPos val="l"/>
        <c:majorGridlines/>
        <c:numFmt formatCode="0.0" sourceLinked="1"/>
        <c:majorTickMark val="none"/>
        <c:tickLblPos val="nextTo"/>
        <c:crossAx val="100069376"/>
        <c:crosses val="autoZero"/>
        <c:crossBetween val="between"/>
      </c:valAx>
    </c:plotArea>
    <c:plotVisOnly val="1"/>
    <c:dispBlanksAs val="gap"/>
  </c:chart>
  <c:printSettings>
    <c:headerFooter/>
    <c:pageMargins b="0.75000000000000622" l="0.70000000000000062" r="0.70000000000000062" t="0.75000000000000622" header="0.30000000000000032" footer="0.30000000000000032"/>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c:lang val="en-IE"/>
  <c:chart>
    <c:title>
      <c:tx>
        <c:strRef>
          <c:f>'Search by Age'!$A$144</c:f>
          <c:strCache>
            <c:ptCount val="1"/>
            <c:pt idx="0">
              <c:v>Time waiting to see the healthcare professional on day of survey</c:v>
            </c:pt>
          </c:strCache>
        </c:strRef>
      </c:tx>
    </c:title>
    <c:plotArea>
      <c:layout/>
      <c:barChart>
        <c:barDir val="col"/>
        <c:grouping val="clustered"/>
        <c:ser>
          <c:idx val="0"/>
          <c:order val="0"/>
          <c:dLbls>
            <c:showVal val="1"/>
          </c:dLbls>
          <c:cat>
            <c:strRef>
              <c:f>'Search by Age'!$A$146:$A$149</c:f>
              <c:strCache>
                <c:ptCount val="4"/>
                <c:pt idx="0">
                  <c:v>Less than 15 minutes</c:v>
                </c:pt>
                <c:pt idx="1">
                  <c:v>15 to 30 minutes</c:v>
                </c:pt>
                <c:pt idx="2">
                  <c:v>31 to 45 minutes</c:v>
                </c:pt>
                <c:pt idx="3">
                  <c:v>Over 45 minutes</c:v>
                </c:pt>
              </c:strCache>
            </c:strRef>
          </c:cat>
          <c:val>
            <c:numRef>
              <c:f>'Search by Age'!$D$146:$D$149</c:f>
              <c:numCache>
                <c:formatCode>0.0</c:formatCode>
                <c:ptCount val="4"/>
                <c:pt idx="0">
                  <c:v>0</c:v>
                </c:pt>
                <c:pt idx="1">
                  <c:v>0</c:v>
                </c:pt>
                <c:pt idx="2">
                  <c:v>0</c:v>
                </c:pt>
                <c:pt idx="3">
                  <c:v>0</c:v>
                </c:pt>
              </c:numCache>
            </c:numRef>
          </c:val>
        </c:ser>
        <c:dLbls/>
        <c:axId val="100099200"/>
        <c:axId val="100100736"/>
      </c:barChart>
      <c:catAx>
        <c:axId val="100099200"/>
        <c:scaling>
          <c:orientation val="minMax"/>
        </c:scaling>
        <c:axPos val="b"/>
        <c:majorTickMark val="none"/>
        <c:tickLblPos val="nextTo"/>
        <c:crossAx val="100100736"/>
        <c:crosses val="autoZero"/>
        <c:auto val="1"/>
        <c:lblAlgn val="ctr"/>
        <c:lblOffset val="100"/>
      </c:catAx>
      <c:valAx>
        <c:axId val="100100736"/>
        <c:scaling>
          <c:orientation val="minMax"/>
          <c:max val="100"/>
        </c:scaling>
        <c:axPos val="l"/>
        <c:majorGridlines/>
        <c:numFmt formatCode="0.0" sourceLinked="1"/>
        <c:majorTickMark val="none"/>
        <c:tickLblPos val="nextTo"/>
        <c:crossAx val="100099200"/>
        <c:crosses val="autoZero"/>
        <c:crossBetween val="between"/>
      </c:valAx>
    </c:plotArea>
    <c:plotVisOnly val="1"/>
    <c:dispBlanksAs val="gap"/>
  </c:chart>
  <c:printSettings>
    <c:headerFooter/>
    <c:pageMargins b="0.75000000000000644" l="0.70000000000000062" r="0.70000000000000062" t="0.75000000000000644" header="0.30000000000000032" footer="0.30000000000000032"/>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c:lang val="en-IE"/>
  <c:chart>
    <c:title>
      <c:tx>
        <c:strRef>
          <c:f>'Search by Age'!$A$154</c:f>
          <c:strCache>
            <c:ptCount val="1"/>
            <c:pt idx="0">
              <c:v>Healthcare professional washed or cleaned their hands prior to patient contact</c:v>
            </c:pt>
          </c:strCache>
        </c:strRef>
      </c:tx>
    </c:title>
    <c:plotArea>
      <c:layout/>
      <c:barChart>
        <c:barDir val="col"/>
        <c:grouping val="clustered"/>
        <c:ser>
          <c:idx val="0"/>
          <c:order val="0"/>
          <c:dLbls>
            <c:showVal val="1"/>
          </c:dLbls>
          <c:cat>
            <c:strRef>
              <c:f>'Search by Age'!$A$156:$A$158</c:f>
              <c:strCache>
                <c:ptCount val="3"/>
                <c:pt idx="0">
                  <c:v>Yes</c:v>
                </c:pt>
                <c:pt idx="1">
                  <c:v>No</c:v>
                </c:pt>
                <c:pt idx="2">
                  <c:v>Can't recall</c:v>
                </c:pt>
              </c:strCache>
            </c:strRef>
          </c:cat>
          <c:val>
            <c:numRef>
              <c:f>'Search by Age'!$D$156:$D$158</c:f>
              <c:numCache>
                <c:formatCode>0.0</c:formatCode>
                <c:ptCount val="3"/>
                <c:pt idx="0">
                  <c:v>0</c:v>
                </c:pt>
                <c:pt idx="1">
                  <c:v>0</c:v>
                </c:pt>
                <c:pt idx="2">
                  <c:v>0</c:v>
                </c:pt>
              </c:numCache>
            </c:numRef>
          </c:val>
        </c:ser>
        <c:dLbls/>
        <c:axId val="100120832"/>
        <c:axId val="100130816"/>
      </c:barChart>
      <c:catAx>
        <c:axId val="100120832"/>
        <c:scaling>
          <c:orientation val="minMax"/>
        </c:scaling>
        <c:axPos val="b"/>
        <c:majorTickMark val="none"/>
        <c:tickLblPos val="nextTo"/>
        <c:crossAx val="100130816"/>
        <c:crosses val="autoZero"/>
        <c:auto val="1"/>
        <c:lblAlgn val="ctr"/>
        <c:lblOffset val="100"/>
      </c:catAx>
      <c:valAx>
        <c:axId val="100130816"/>
        <c:scaling>
          <c:orientation val="minMax"/>
          <c:max val="100"/>
        </c:scaling>
        <c:axPos val="l"/>
        <c:majorGridlines/>
        <c:numFmt formatCode="0.0" sourceLinked="1"/>
        <c:majorTickMark val="none"/>
        <c:tickLblPos val="nextTo"/>
        <c:crossAx val="100120832"/>
        <c:crosses val="autoZero"/>
        <c:crossBetween val="between"/>
      </c:valAx>
    </c:plotArea>
    <c:plotVisOnly val="1"/>
    <c:dispBlanksAs val="gap"/>
  </c:chart>
  <c:printSettings>
    <c:headerFooter/>
    <c:pageMargins b="0.75000000000000666" l="0.70000000000000062" r="0.70000000000000062" t="0.75000000000000666" header="0.30000000000000032" footer="0.30000000000000032"/>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c:lang val="en-IE"/>
  <c:chart>
    <c:title>
      <c:tx>
        <c:strRef>
          <c:f>'Search by Age'!$A$163</c:f>
          <c:strCache>
            <c:ptCount val="1"/>
            <c:pt idx="0">
              <c:v>Healthcare professional introduced themselves to patient</c:v>
            </c:pt>
          </c:strCache>
        </c:strRef>
      </c:tx>
    </c:title>
    <c:plotArea>
      <c:layout/>
      <c:barChart>
        <c:barDir val="col"/>
        <c:grouping val="clustered"/>
        <c:ser>
          <c:idx val="0"/>
          <c:order val="0"/>
          <c:dLbls>
            <c:showVal val="1"/>
          </c:dLbls>
          <c:cat>
            <c:strRef>
              <c:f>'Search by Age'!$A$165:$A$167</c:f>
              <c:strCache>
                <c:ptCount val="3"/>
                <c:pt idx="0">
                  <c:v>Yes</c:v>
                </c:pt>
                <c:pt idx="1">
                  <c:v>No</c:v>
                </c:pt>
                <c:pt idx="2">
                  <c:v>Already known to me</c:v>
                </c:pt>
              </c:strCache>
            </c:strRef>
          </c:cat>
          <c:val>
            <c:numRef>
              <c:f>'Search by Age'!$D$165:$D$167</c:f>
              <c:numCache>
                <c:formatCode>0.0</c:formatCode>
                <c:ptCount val="3"/>
                <c:pt idx="0">
                  <c:v>0</c:v>
                </c:pt>
                <c:pt idx="1">
                  <c:v>0</c:v>
                </c:pt>
                <c:pt idx="2">
                  <c:v>0</c:v>
                </c:pt>
              </c:numCache>
            </c:numRef>
          </c:val>
        </c:ser>
        <c:dLbls/>
        <c:axId val="100146560"/>
        <c:axId val="100160640"/>
      </c:barChart>
      <c:catAx>
        <c:axId val="100146560"/>
        <c:scaling>
          <c:orientation val="minMax"/>
        </c:scaling>
        <c:axPos val="b"/>
        <c:majorTickMark val="none"/>
        <c:tickLblPos val="nextTo"/>
        <c:crossAx val="100160640"/>
        <c:crosses val="autoZero"/>
        <c:auto val="1"/>
        <c:lblAlgn val="ctr"/>
        <c:lblOffset val="100"/>
      </c:catAx>
      <c:valAx>
        <c:axId val="100160640"/>
        <c:scaling>
          <c:orientation val="minMax"/>
          <c:max val="100"/>
        </c:scaling>
        <c:axPos val="l"/>
        <c:majorGridlines/>
        <c:numFmt formatCode="0.0" sourceLinked="1"/>
        <c:majorTickMark val="none"/>
        <c:tickLblPos val="nextTo"/>
        <c:crossAx val="100146560"/>
        <c:crosses val="autoZero"/>
        <c:crossBetween val="between"/>
      </c:valAx>
    </c:plotArea>
    <c:plotVisOnly val="1"/>
    <c:dispBlanksAs val="gap"/>
  </c:chart>
  <c:printSettings>
    <c:headerFooter/>
    <c:pageMargins b="0.75000000000000688" l="0.70000000000000062" r="0.70000000000000062" t="0.75000000000000688" header="0.30000000000000032" footer="0.30000000000000032"/>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c:lang val="en-IE"/>
  <c:chart>
    <c:title>
      <c:tx>
        <c:strRef>
          <c:f>'Search by Age'!$A$172</c:f>
          <c:strCache>
            <c:ptCount val="1"/>
            <c:pt idx="0">
              <c:v>Patient felt treated with kindness and respect during visit</c:v>
            </c:pt>
          </c:strCache>
        </c:strRef>
      </c:tx>
    </c:title>
    <c:plotArea>
      <c:layout/>
      <c:barChart>
        <c:barDir val="col"/>
        <c:grouping val="clustered"/>
        <c:ser>
          <c:idx val="0"/>
          <c:order val="0"/>
          <c:dLbls>
            <c:showVal val="1"/>
          </c:dLbls>
          <c:cat>
            <c:strRef>
              <c:f>'Search by Age'!$A$174:$A$175</c:f>
              <c:strCache>
                <c:ptCount val="2"/>
                <c:pt idx="0">
                  <c:v>Yes</c:v>
                </c:pt>
                <c:pt idx="1">
                  <c:v>No</c:v>
                </c:pt>
              </c:strCache>
            </c:strRef>
          </c:cat>
          <c:val>
            <c:numRef>
              <c:f>'Search by Age'!$D$174:$D$175</c:f>
              <c:numCache>
                <c:formatCode>0.0</c:formatCode>
                <c:ptCount val="2"/>
                <c:pt idx="0">
                  <c:v>0</c:v>
                </c:pt>
                <c:pt idx="1">
                  <c:v>0</c:v>
                </c:pt>
              </c:numCache>
            </c:numRef>
          </c:val>
        </c:ser>
        <c:dLbls/>
        <c:axId val="100197120"/>
        <c:axId val="100198656"/>
      </c:barChart>
      <c:catAx>
        <c:axId val="100197120"/>
        <c:scaling>
          <c:orientation val="minMax"/>
        </c:scaling>
        <c:axPos val="b"/>
        <c:majorTickMark val="none"/>
        <c:tickLblPos val="nextTo"/>
        <c:crossAx val="100198656"/>
        <c:crosses val="autoZero"/>
        <c:auto val="1"/>
        <c:lblAlgn val="ctr"/>
        <c:lblOffset val="100"/>
      </c:catAx>
      <c:valAx>
        <c:axId val="100198656"/>
        <c:scaling>
          <c:orientation val="minMax"/>
          <c:max val="100"/>
        </c:scaling>
        <c:axPos val="l"/>
        <c:majorGridlines/>
        <c:numFmt formatCode="0.0" sourceLinked="1"/>
        <c:majorTickMark val="none"/>
        <c:tickLblPos val="nextTo"/>
        <c:crossAx val="100197120"/>
        <c:crosses val="autoZero"/>
        <c:crossBetween val="between"/>
      </c:valAx>
    </c:plotArea>
    <c:plotVisOnly val="1"/>
    <c:dispBlanksAs val="gap"/>
  </c:chart>
  <c:printSettings>
    <c:headerFooter/>
    <c:pageMargins b="0.75000000000000711" l="0.70000000000000062" r="0.70000000000000062" t="0.75000000000000711" header="0.30000000000000032" footer="0.30000000000000032"/>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c:lang val="en-IE"/>
  <c:chart>
    <c:title>
      <c:tx>
        <c:strRef>
          <c:f>'Search by Age'!$A$180</c:f>
          <c:strCache>
            <c:ptCount val="1"/>
            <c:pt idx="0">
              <c:v>Satisfaction with the level of privacy provided during appointment</c:v>
            </c:pt>
          </c:strCache>
        </c:strRef>
      </c:tx>
    </c:title>
    <c:plotArea>
      <c:layout/>
      <c:barChart>
        <c:barDir val="col"/>
        <c:grouping val="clustered"/>
        <c:ser>
          <c:idx val="0"/>
          <c:order val="0"/>
          <c:dLbls>
            <c:showVal val="1"/>
          </c:dLbls>
          <c:cat>
            <c:strRef>
              <c:f>'Search by Age'!$A$182:$A$183</c:f>
              <c:strCache>
                <c:ptCount val="2"/>
                <c:pt idx="0">
                  <c:v>Yes</c:v>
                </c:pt>
                <c:pt idx="1">
                  <c:v>No</c:v>
                </c:pt>
              </c:strCache>
            </c:strRef>
          </c:cat>
          <c:val>
            <c:numRef>
              <c:f>'Search by Age'!$D$182:$D$183</c:f>
              <c:numCache>
                <c:formatCode>0.0</c:formatCode>
                <c:ptCount val="2"/>
                <c:pt idx="0">
                  <c:v>0</c:v>
                </c:pt>
                <c:pt idx="1">
                  <c:v>0</c:v>
                </c:pt>
              </c:numCache>
            </c:numRef>
          </c:val>
        </c:ser>
        <c:dLbls/>
        <c:axId val="100235136"/>
        <c:axId val="100236672"/>
      </c:barChart>
      <c:catAx>
        <c:axId val="100235136"/>
        <c:scaling>
          <c:orientation val="minMax"/>
        </c:scaling>
        <c:axPos val="b"/>
        <c:majorTickMark val="none"/>
        <c:tickLblPos val="nextTo"/>
        <c:crossAx val="100236672"/>
        <c:crosses val="autoZero"/>
        <c:auto val="1"/>
        <c:lblAlgn val="ctr"/>
        <c:lblOffset val="100"/>
      </c:catAx>
      <c:valAx>
        <c:axId val="100236672"/>
        <c:scaling>
          <c:orientation val="minMax"/>
          <c:max val="100"/>
        </c:scaling>
        <c:axPos val="l"/>
        <c:majorGridlines/>
        <c:numFmt formatCode="0.0" sourceLinked="1"/>
        <c:majorTickMark val="none"/>
        <c:tickLblPos val="nextTo"/>
        <c:crossAx val="100235136"/>
        <c:crosses val="autoZero"/>
        <c:crossBetween val="between"/>
      </c:valAx>
    </c:plotArea>
    <c:plotVisOnly val="1"/>
    <c:dispBlanksAs val="gap"/>
  </c:chart>
  <c:printSettings>
    <c:headerFooter/>
    <c:pageMargins b="0.75000000000000733" l="0.70000000000000062" r="0.70000000000000062" t="0.75000000000000733" header="0.30000000000000032" footer="0.30000000000000032"/>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c:lang val="en-IE"/>
  <c:chart>
    <c:title>
      <c:tx>
        <c:strRef>
          <c:f>'Search by Age'!$A$188</c:f>
          <c:strCache>
            <c:ptCount val="1"/>
            <c:pt idx="0">
              <c:v>It was explained that, if relevant to overall care, patients information may be shared with other PCT members
about you with other members of the Primary Care Team?</c:v>
            </c:pt>
          </c:strCache>
        </c:strRef>
      </c:tx>
    </c:title>
    <c:plotArea>
      <c:layout/>
      <c:barChart>
        <c:barDir val="col"/>
        <c:grouping val="clustered"/>
        <c:ser>
          <c:idx val="0"/>
          <c:order val="0"/>
          <c:dLbls>
            <c:showVal val="1"/>
          </c:dLbls>
          <c:cat>
            <c:strRef>
              <c:f>'Search by Age'!$A$190:$A$192</c:f>
              <c:strCache>
                <c:ptCount val="3"/>
                <c:pt idx="0">
                  <c:v>Yes</c:v>
                </c:pt>
                <c:pt idx="1">
                  <c:v>No</c:v>
                </c:pt>
                <c:pt idx="2">
                  <c:v>Not sure</c:v>
                </c:pt>
              </c:strCache>
            </c:strRef>
          </c:cat>
          <c:val>
            <c:numRef>
              <c:f>'Search by Age'!$D$190:$D$192</c:f>
              <c:numCache>
                <c:formatCode>0.0</c:formatCode>
                <c:ptCount val="3"/>
                <c:pt idx="0">
                  <c:v>0</c:v>
                </c:pt>
                <c:pt idx="1">
                  <c:v>0</c:v>
                </c:pt>
                <c:pt idx="2">
                  <c:v>0</c:v>
                </c:pt>
              </c:numCache>
            </c:numRef>
          </c:val>
        </c:ser>
        <c:dLbls/>
        <c:axId val="100269440"/>
        <c:axId val="100275328"/>
      </c:barChart>
      <c:catAx>
        <c:axId val="100269440"/>
        <c:scaling>
          <c:orientation val="minMax"/>
        </c:scaling>
        <c:axPos val="b"/>
        <c:numFmt formatCode="General" sourceLinked="1"/>
        <c:majorTickMark val="none"/>
        <c:tickLblPos val="nextTo"/>
        <c:crossAx val="100275328"/>
        <c:crosses val="autoZero"/>
        <c:auto val="1"/>
        <c:lblAlgn val="ctr"/>
        <c:lblOffset val="100"/>
      </c:catAx>
      <c:valAx>
        <c:axId val="100275328"/>
        <c:scaling>
          <c:orientation val="minMax"/>
          <c:max val="100"/>
        </c:scaling>
        <c:axPos val="l"/>
        <c:majorGridlines/>
        <c:numFmt formatCode="0.0" sourceLinked="1"/>
        <c:majorTickMark val="none"/>
        <c:tickLblPos val="nextTo"/>
        <c:crossAx val="100269440"/>
        <c:crosses val="autoZero"/>
        <c:crossBetween val="between"/>
      </c:valAx>
    </c:plotArea>
    <c:plotVisOnly val="1"/>
    <c:dispBlanksAs val="gap"/>
  </c:chart>
  <c:printSettings>
    <c:headerFooter/>
    <c:pageMargins b="0.75000000000000755" l="0.70000000000000062" r="0.70000000000000062" t="0.75000000000000755" header="0.30000000000000032" footer="0.30000000000000032"/>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c:lang val="en-IE"/>
  <c:chart>
    <c:title>
      <c:tx>
        <c:strRef>
          <c:f>'Search by Age'!$A$197</c:f>
          <c:strCache>
            <c:ptCount val="1"/>
            <c:pt idx="0">
              <c:v>Advice and information provided during appointment was easy to understand</c:v>
            </c:pt>
          </c:strCache>
        </c:strRef>
      </c:tx>
    </c:title>
    <c:plotArea>
      <c:layout/>
      <c:barChart>
        <c:barDir val="col"/>
        <c:grouping val="clustered"/>
        <c:ser>
          <c:idx val="0"/>
          <c:order val="0"/>
          <c:dLbls>
            <c:showVal val="1"/>
          </c:dLbls>
          <c:cat>
            <c:strRef>
              <c:f>'Search by Age'!$A$199:$A$200</c:f>
              <c:strCache>
                <c:ptCount val="2"/>
                <c:pt idx="0">
                  <c:v>Yes</c:v>
                </c:pt>
                <c:pt idx="1">
                  <c:v>No</c:v>
                </c:pt>
              </c:strCache>
            </c:strRef>
          </c:cat>
          <c:val>
            <c:numRef>
              <c:f>'Search by Age'!$D$199:$D$200</c:f>
              <c:numCache>
                <c:formatCode>0.0</c:formatCode>
                <c:ptCount val="2"/>
                <c:pt idx="0">
                  <c:v>0</c:v>
                </c:pt>
                <c:pt idx="1">
                  <c:v>0</c:v>
                </c:pt>
              </c:numCache>
            </c:numRef>
          </c:val>
        </c:ser>
        <c:dLbls/>
        <c:axId val="100295424"/>
        <c:axId val="100296960"/>
      </c:barChart>
      <c:catAx>
        <c:axId val="100295424"/>
        <c:scaling>
          <c:orientation val="minMax"/>
        </c:scaling>
        <c:axPos val="b"/>
        <c:numFmt formatCode="General" sourceLinked="1"/>
        <c:majorTickMark val="none"/>
        <c:tickLblPos val="nextTo"/>
        <c:crossAx val="100296960"/>
        <c:crosses val="autoZero"/>
        <c:auto val="1"/>
        <c:lblAlgn val="ctr"/>
        <c:lblOffset val="100"/>
      </c:catAx>
      <c:valAx>
        <c:axId val="100296960"/>
        <c:scaling>
          <c:orientation val="minMax"/>
          <c:max val="100"/>
        </c:scaling>
        <c:axPos val="l"/>
        <c:majorGridlines/>
        <c:numFmt formatCode="0.0" sourceLinked="1"/>
        <c:majorTickMark val="none"/>
        <c:tickLblPos val="nextTo"/>
        <c:crossAx val="100295424"/>
        <c:crosses val="autoZero"/>
        <c:crossBetween val="between"/>
      </c:valAx>
    </c:plotArea>
    <c:plotVisOnly val="1"/>
    <c:dispBlanksAs val="gap"/>
  </c:chart>
  <c:printSettings>
    <c:headerFooter/>
    <c:pageMargins b="0.75000000000000777" l="0.70000000000000062" r="0.70000000000000062" t="0.75000000000000777" header="0.30000000000000032" footer="0.30000000000000032"/>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c:lang val="en-IE"/>
  <c:chart>
    <c:title>
      <c:tx>
        <c:strRef>
          <c:f>'Search by Age'!$A$206</c:f>
          <c:strCache>
            <c:ptCount val="1"/>
            <c:pt idx="0">
              <c:v>Enough time provided during appointment to ask questions and discuss your health problems and concerns</c:v>
            </c:pt>
          </c:strCache>
        </c:strRef>
      </c:tx>
    </c:title>
    <c:plotArea>
      <c:layout/>
      <c:barChart>
        <c:barDir val="col"/>
        <c:grouping val="clustered"/>
        <c:ser>
          <c:idx val="0"/>
          <c:order val="0"/>
          <c:dLbls>
            <c:showVal val="1"/>
          </c:dLbls>
          <c:cat>
            <c:strRef>
              <c:f>'Search by Age'!$A$208:$A$209</c:f>
              <c:strCache>
                <c:ptCount val="2"/>
                <c:pt idx="0">
                  <c:v>Yes</c:v>
                </c:pt>
                <c:pt idx="1">
                  <c:v>No</c:v>
                </c:pt>
              </c:strCache>
            </c:strRef>
          </c:cat>
          <c:val>
            <c:numRef>
              <c:f>'Search by Age'!$D$208:$D$209</c:f>
              <c:numCache>
                <c:formatCode>0.0</c:formatCode>
                <c:ptCount val="2"/>
                <c:pt idx="0">
                  <c:v>0</c:v>
                </c:pt>
                <c:pt idx="1">
                  <c:v>0</c:v>
                </c:pt>
              </c:numCache>
            </c:numRef>
          </c:val>
        </c:ser>
        <c:dLbls/>
        <c:axId val="100403072"/>
        <c:axId val="100404608"/>
      </c:barChart>
      <c:catAx>
        <c:axId val="100403072"/>
        <c:scaling>
          <c:orientation val="minMax"/>
        </c:scaling>
        <c:axPos val="b"/>
        <c:numFmt formatCode="General" sourceLinked="1"/>
        <c:majorTickMark val="none"/>
        <c:tickLblPos val="nextTo"/>
        <c:crossAx val="100404608"/>
        <c:crosses val="autoZero"/>
        <c:auto val="1"/>
        <c:lblAlgn val="ctr"/>
        <c:lblOffset val="100"/>
      </c:catAx>
      <c:valAx>
        <c:axId val="100404608"/>
        <c:scaling>
          <c:orientation val="minMax"/>
          <c:max val="100"/>
        </c:scaling>
        <c:axPos val="l"/>
        <c:majorGridlines/>
        <c:numFmt formatCode="0.0" sourceLinked="1"/>
        <c:majorTickMark val="none"/>
        <c:tickLblPos val="nextTo"/>
        <c:crossAx val="100403072"/>
        <c:crosses val="autoZero"/>
        <c:crossBetween val="between"/>
      </c:valAx>
    </c:plotArea>
    <c:plotVisOnly val="1"/>
    <c:dispBlanksAs val="gap"/>
  </c:chart>
  <c:printSettings>
    <c:headerFooter/>
    <c:pageMargins b="0.75000000000000799" l="0.70000000000000062" r="0.70000000000000062" t="0.75000000000000799" header="0.30000000000000032" footer="0.30000000000000032"/>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c:lang val="en-IE"/>
  <c:chart>
    <c:title>
      <c:tx>
        <c:strRef>
          <c:f>'Search by Age'!$A$214</c:f>
          <c:strCache>
            <c:ptCount val="1"/>
            <c:pt idx="0">
              <c:v>Were you involved in making decisions about your care and treatment?</c:v>
            </c:pt>
          </c:strCache>
        </c:strRef>
      </c:tx>
    </c:title>
    <c:plotArea>
      <c:layout/>
      <c:barChart>
        <c:barDir val="col"/>
        <c:grouping val="clustered"/>
        <c:ser>
          <c:idx val="0"/>
          <c:order val="0"/>
          <c:dLbls>
            <c:showVal val="1"/>
          </c:dLbls>
          <c:cat>
            <c:strRef>
              <c:f>'Search by Age'!$A$216:$A$217</c:f>
              <c:strCache>
                <c:ptCount val="2"/>
                <c:pt idx="0">
                  <c:v>Yes</c:v>
                </c:pt>
                <c:pt idx="1">
                  <c:v>No</c:v>
                </c:pt>
              </c:strCache>
            </c:strRef>
          </c:cat>
          <c:val>
            <c:numRef>
              <c:f>'Search by Age'!$D$216:$D$217</c:f>
              <c:numCache>
                <c:formatCode>0.0</c:formatCode>
                <c:ptCount val="2"/>
                <c:pt idx="0">
                  <c:v>0</c:v>
                </c:pt>
                <c:pt idx="1">
                  <c:v>0</c:v>
                </c:pt>
              </c:numCache>
            </c:numRef>
          </c:val>
        </c:ser>
        <c:dLbls/>
        <c:axId val="100475648"/>
        <c:axId val="100477184"/>
      </c:barChart>
      <c:catAx>
        <c:axId val="100475648"/>
        <c:scaling>
          <c:orientation val="minMax"/>
        </c:scaling>
        <c:axPos val="b"/>
        <c:numFmt formatCode="General" sourceLinked="1"/>
        <c:majorTickMark val="none"/>
        <c:tickLblPos val="nextTo"/>
        <c:txPr>
          <a:bodyPr/>
          <a:lstStyle/>
          <a:p>
            <a:pPr>
              <a:defRPr sz="800"/>
            </a:pPr>
            <a:endParaRPr lang="en-US"/>
          </a:p>
        </c:txPr>
        <c:crossAx val="100477184"/>
        <c:crosses val="autoZero"/>
        <c:auto val="1"/>
        <c:lblAlgn val="ctr"/>
        <c:lblOffset val="100"/>
      </c:catAx>
      <c:valAx>
        <c:axId val="100477184"/>
        <c:scaling>
          <c:orientation val="minMax"/>
          <c:max val="100"/>
        </c:scaling>
        <c:axPos val="l"/>
        <c:majorGridlines/>
        <c:numFmt formatCode="0.0" sourceLinked="1"/>
        <c:majorTickMark val="none"/>
        <c:tickLblPos val="nextTo"/>
        <c:crossAx val="100475648"/>
        <c:crosses val="autoZero"/>
        <c:crossBetween val="between"/>
      </c:valAx>
    </c:plotArea>
    <c:plotVisOnly val="1"/>
    <c:dispBlanksAs val="gap"/>
  </c:chart>
  <c:printSettings>
    <c:headerFooter/>
    <c:pageMargins b="0.75000000000000822" l="0.70000000000000062" r="0.70000000000000062" t="0.7500000000000082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IE"/>
  <c:chart>
    <c:title>
      <c:tx>
        <c:rich>
          <a:bodyPr/>
          <a:lstStyle/>
          <a:p>
            <a:pPr>
              <a:defRPr/>
            </a:pPr>
            <a:r>
              <a:rPr lang="en-IE"/>
              <a:t>Suitability of your appointment time</a:t>
            </a:r>
          </a:p>
        </c:rich>
      </c:tx>
    </c:title>
    <c:plotArea>
      <c:layout/>
      <c:barChart>
        <c:barDir val="col"/>
        <c:grouping val="clustered"/>
        <c:ser>
          <c:idx val="1"/>
          <c:order val="0"/>
          <c:dLbls>
            <c:showVal val="1"/>
          </c:dLbls>
          <c:cat>
            <c:strRef>
              <c:f>OverallResults!$A$113:$A$117</c:f>
              <c:strCache>
                <c:ptCount val="5"/>
                <c:pt idx="0">
                  <c:v>The appointment time given to me was most suitable.</c:v>
                </c:pt>
                <c:pt idx="1">
                  <c:v>I would have preferred an appointment time before 9am.</c:v>
                </c:pt>
                <c:pt idx="2">
                  <c:v>I would have preferred an appointment time from 12pm-1pm.</c:v>
                </c:pt>
                <c:pt idx="3">
                  <c:v>I would have preferred an appointment time from 1pm-2pm.</c:v>
                </c:pt>
                <c:pt idx="4">
                  <c:v>I would have preferred an appointment time after 5pm.</c:v>
                </c:pt>
              </c:strCache>
            </c:strRef>
          </c:cat>
          <c:val>
            <c:numRef>
              <c:f>OverallResults!$D$113:$D$117</c:f>
              <c:numCache>
                <c:formatCode>0.0</c:formatCode>
                <c:ptCount val="5"/>
                <c:pt idx="0">
                  <c:v>0</c:v>
                </c:pt>
                <c:pt idx="1">
                  <c:v>0</c:v>
                </c:pt>
                <c:pt idx="2">
                  <c:v>0</c:v>
                </c:pt>
                <c:pt idx="3">
                  <c:v>0</c:v>
                </c:pt>
                <c:pt idx="4">
                  <c:v>0</c:v>
                </c:pt>
              </c:numCache>
            </c:numRef>
          </c:val>
        </c:ser>
        <c:dLbls/>
        <c:axId val="80013184"/>
        <c:axId val="80014720"/>
      </c:barChart>
      <c:catAx>
        <c:axId val="80013184"/>
        <c:scaling>
          <c:orientation val="minMax"/>
        </c:scaling>
        <c:axPos val="b"/>
        <c:majorTickMark val="none"/>
        <c:tickLblPos val="nextTo"/>
        <c:crossAx val="80014720"/>
        <c:crosses val="autoZero"/>
        <c:auto val="1"/>
        <c:lblAlgn val="ctr"/>
        <c:lblOffset val="100"/>
      </c:catAx>
      <c:valAx>
        <c:axId val="80014720"/>
        <c:scaling>
          <c:orientation val="minMax"/>
          <c:max val="100"/>
        </c:scaling>
        <c:axPos val="l"/>
        <c:majorGridlines/>
        <c:numFmt formatCode="0.0" sourceLinked="1"/>
        <c:majorTickMark val="none"/>
        <c:tickLblPos val="nextTo"/>
        <c:crossAx val="80013184"/>
        <c:crosses val="autoZero"/>
        <c:crossBetween val="between"/>
      </c:valAx>
    </c:plotArea>
    <c:plotVisOnly val="1"/>
    <c:dispBlanksAs val="gap"/>
  </c:chart>
  <c:printSettings>
    <c:headerFooter/>
    <c:pageMargins b="0.75000000000000511" l="0.70000000000000062" r="0.70000000000000062" t="0.75000000000000511" header="0.30000000000000032" footer="0.30000000000000032"/>
    <c:pageSetup/>
  </c:printSettings>
</c:chartSpace>
</file>

<file path=xl/charts/chart90.xml><?xml version="1.0" encoding="utf-8"?>
<c:chartSpace xmlns:c="http://schemas.openxmlformats.org/drawingml/2006/chart" xmlns:a="http://schemas.openxmlformats.org/drawingml/2006/main" xmlns:r="http://schemas.openxmlformats.org/officeDocument/2006/relationships">
  <c:lang val="en-IE"/>
  <c:chart>
    <c:title>
      <c:tx>
        <c:strRef>
          <c:f>'Search by Age'!$A$222</c:f>
          <c:strCache>
            <c:ptCount val="1"/>
            <c:pt idx="0">
              <c:v>Information or advice received on Quitting smoking during your visit</c:v>
            </c:pt>
          </c:strCache>
        </c:strRef>
      </c:tx>
    </c:title>
    <c:plotArea>
      <c:layout/>
      <c:barChart>
        <c:barDir val="col"/>
        <c:grouping val="clustered"/>
        <c:ser>
          <c:idx val="0"/>
          <c:order val="0"/>
          <c:dLbls>
            <c:showVal val="1"/>
          </c:dLbls>
          <c:cat>
            <c:strRef>
              <c:f>'Search by Age'!$A$224:$A$225</c:f>
              <c:strCache>
                <c:ptCount val="2"/>
                <c:pt idx="0">
                  <c:v>Yes</c:v>
                </c:pt>
                <c:pt idx="1">
                  <c:v>No</c:v>
                </c:pt>
              </c:strCache>
            </c:strRef>
          </c:cat>
          <c:val>
            <c:numRef>
              <c:f>'Search by Age'!$D$224:$D$225</c:f>
              <c:numCache>
                <c:formatCode>0.0</c:formatCode>
                <c:ptCount val="2"/>
                <c:pt idx="0">
                  <c:v>0</c:v>
                </c:pt>
                <c:pt idx="1">
                  <c:v>0</c:v>
                </c:pt>
              </c:numCache>
            </c:numRef>
          </c:val>
        </c:ser>
        <c:dLbls/>
        <c:axId val="100500224"/>
        <c:axId val="100501760"/>
      </c:barChart>
      <c:catAx>
        <c:axId val="100500224"/>
        <c:scaling>
          <c:orientation val="minMax"/>
        </c:scaling>
        <c:axPos val="b"/>
        <c:numFmt formatCode="General" sourceLinked="1"/>
        <c:majorTickMark val="none"/>
        <c:tickLblPos val="nextTo"/>
        <c:crossAx val="100501760"/>
        <c:crosses val="autoZero"/>
        <c:auto val="1"/>
        <c:lblAlgn val="ctr"/>
        <c:lblOffset val="100"/>
      </c:catAx>
      <c:valAx>
        <c:axId val="100501760"/>
        <c:scaling>
          <c:orientation val="minMax"/>
          <c:max val="100"/>
        </c:scaling>
        <c:axPos val="l"/>
        <c:majorGridlines/>
        <c:numFmt formatCode="0.0" sourceLinked="1"/>
        <c:majorTickMark val="none"/>
        <c:tickLblPos val="nextTo"/>
        <c:crossAx val="100500224"/>
        <c:crosses val="autoZero"/>
        <c:crossBetween val="between"/>
      </c:valAx>
    </c:plotArea>
    <c:plotVisOnly val="1"/>
    <c:dispBlanksAs val="gap"/>
  </c:chart>
  <c:printSettings>
    <c:headerFooter/>
    <c:pageMargins b="0.75000000000000822" l="0.70000000000000062" r="0.70000000000000062" t="0.75000000000000822" header="0.30000000000000032" footer="0.30000000000000032"/>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c:lang val="en-IE"/>
  <c:chart>
    <c:title>
      <c:tx>
        <c:strRef>
          <c:f>'Search by Age'!$A$231</c:f>
          <c:strCache>
            <c:ptCount val="1"/>
            <c:pt idx="0">
              <c:v>Information or advice received  on Losing weight during your visit today</c:v>
            </c:pt>
          </c:strCache>
        </c:strRef>
      </c:tx>
    </c:title>
    <c:plotArea>
      <c:layout/>
      <c:barChart>
        <c:barDir val="col"/>
        <c:grouping val="clustered"/>
        <c:ser>
          <c:idx val="0"/>
          <c:order val="0"/>
          <c:dLbls>
            <c:showVal val="1"/>
          </c:dLbls>
          <c:cat>
            <c:strRef>
              <c:f>'Search by Age'!$A$233:$A$234</c:f>
              <c:strCache>
                <c:ptCount val="2"/>
                <c:pt idx="0">
                  <c:v>Yes</c:v>
                </c:pt>
                <c:pt idx="1">
                  <c:v>No</c:v>
                </c:pt>
              </c:strCache>
            </c:strRef>
          </c:cat>
          <c:val>
            <c:numRef>
              <c:f>'Search by Age'!$D$233:$D$234</c:f>
              <c:numCache>
                <c:formatCode>0.0</c:formatCode>
                <c:ptCount val="2"/>
                <c:pt idx="0">
                  <c:v>0</c:v>
                </c:pt>
                <c:pt idx="1">
                  <c:v>0</c:v>
                </c:pt>
              </c:numCache>
            </c:numRef>
          </c:val>
        </c:ser>
        <c:dLbls/>
        <c:axId val="100521856"/>
        <c:axId val="100523392"/>
      </c:barChart>
      <c:catAx>
        <c:axId val="100521856"/>
        <c:scaling>
          <c:orientation val="minMax"/>
        </c:scaling>
        <c:axPos val="b"/>
        <c:numFmt formatCode="General" sourceLinked="1"/>
        <c:majorTickMark val="none"/>
        <c:tickLblPos val="nextTo"/>
        <c:crossAx val="100523392"/>
        <c:crosses val="autoZero"/>
        <c:auto val="1"/>
        <c:lblAlgn val="ctr"/>
        <c:lblOffset val="100"/>
      </c:catAx>
      <c:valAx>
        <c:axId val="100523392"/>
        <c:scaling>
          <c:orientation val="minMax"/>
          <c:max val="100"/>
        </c:scaling>
        <c:axPos val="l"/>
        <c:majorGridlines/>
        <c:numFmt formatCode="0.0" sourceLinked="1"/>
        <c:majorTickMark val="none"/>
        <c:tickLblPos val="nextTo"/>
        <c:crossAx val="100521856"/>
        <c:crosses val="autoZero"/>
        <c:crossBetween val="between"/>
      </c:valAx>
    </c:plotArea>
    <c:plotVisOnly val="1"/>
    <c:dispBlanksAs val="gap"/>
  </c:chart>
  <c:printSettings>
    <c:headerFooter/>
    <c:pageMargins b="0.75000000000000777" l="0.70000000000000062" r="0.70000000000000062" t="0.75000000000000777" header="0.30000000000000032" footer="0.30000000000000032"/>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c:lang val="en-IE"/>
  <c:chart>
    <c:title>
      <c:tx>
        <c:strRef>
          <c:f>'Search by Age'!$A$240</c:f>
          <c:strCache>
            <c:ptCount val="1"/>
            <c:pt idx="0">
              <c:v>Information or advice received  on Nutrition and healthy eating during your visit</c:v>
            </c:pt>
          </c:strCache>
        </c:strRef>
      </c:tx>
    </c:title>
    <c:plotArea>
      <c:layout/>
      <c:barChart>
        <c:barDir val="col"/>
        <c:grouping val="clustered"/>
        <c:ser>
          <c:idx val="0"/>
          <c:order val="0"/>
          <c:dLbls>
            <c:showVal val="1"/>
          </c:dLbls>
          <c:cat>
            <c:strRef>
              <c:f>'Search by Age'!$A$242:$A$243</c:f>
              <c:strCache>
                <c:ptCount val="2"/>
                <c:pt idx="0">
                  <c:v>Yes</c:v>
                </c:pt>
                <c:pt idx="1">
                  <c:v>No</c:v>
                </c:pt>
              </c:strCache>
            </c:strRef>
          </c:cat>
          <c:val>
            <c:numRef>
              <c:f>'Search by Age'!$D$242:$D$243</c:f>
              <c:numCache>
                <c:formatCode>0.0</c:formatCode>
                <c:ptCount val="2"/>
                <c:pt idx="0">
                  <c:v>0</c:v>
                </c:pt>
                <c:pt idx="1">
                  <c:v>0</c:v>
                </c:pt>
              </c:numCache>
            </c:numRef>
          </c:val>
        </c:ser>
        <c:dLbls/>
        <c:axId val="100555776"/>
        <c:axId val="100569856"/>
      </c:barChart>
      <c:catAx>
        <c:axId val="100555776"/>
        <c:scaling>
          <c:orientation val="minMax"/>
        </c:scaling>
        <c:axPos val="b"/>
        <c:numFmt formatCode="General" sourceLinked="1"/>
        <c:majorTickMark val="none"/>
        <c:tickLblPos val="nextTo"/>
        <c:crossAx val="100569856"/>
        <c:crosses val="autoZero"/>
        <c:auto val="1"/>
        <c:lblAlgn val="ctr"/>
        <c:lblOffset val="100"/>
      </c:catAx>
      <c:valAx>
        <c:axId val="100569856"/>
        <c:scaling>
          <c:orientation val="minMax"/>
          <c:max val="100"/>
        </c:scaling>
        <c:axPos val="l"/>
        <c:majorGridlines/>
        <c:numFmt formatCode="0.0" sourceLinked="1"/>
        <c:majorTickMark val="none"/>
        <c:tickLblPos val="nextTo"/>
        <c:crossAx val="100555776"/>
        <c:crosses val="autoZero"/>
        <c:crossBetween val="between"/>
      </c:valAx>
    </c:plotArea>
    <c:plotVisOnly val="1"/>
    <c:dispBlanksAs val="gap"/>
  </c:chart>
  <c:printSettings>
    <c:headerFooter/>
    <c:pageMargins b="0.75000000000000799" l="0.70000000000000062" r="0.70000000000000062" t="0.75000000000000799" header="0.30000000000000032" footer="0.30000000000000032"/>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c:lang val="en-IE"/>
  <c:chart>
    <c:title>
      <c:tx>
        <c:strRef>
          <c:f>'Search by Age'!$A$249</c:f>
          <c:strCache>
            <c:ptCount val="1"/>
            <c:pt idx="0">
              <c:v>Information or advice received on Physical activity during your visit today</c:v>
            </c:pt>
          </c:strCache>
        </c:strRef>
      </c:tx>
    </c:title>
    <c:plotArea>
      <c:layout/>
      <c:barChart>
        <c:barDir val="col"/>
        <c:grouping val="clustered"/>
        <c:ser>
          <c:idx val="0"/>
          <c:order val="0"/>
          <c:dLbls>
            <c:showVal val="1"/>
          </c:dLbls>
          <c:cat>
            <c:strRef>
              <c:f>'Search by Age'!$A$251:$A$252</c:f>
              <c:strCache>
                <c:ptCount val="2"/>
                <c:pt idx="0">
                  <c:v>Yes</c:v>
                </c:pt>
                <c:pt idx="1">
                  <c:v>No</c:v>
                </c:pt>
              </c:strCache>
            </c:strRef>
          </c:cat>
          <c:val>
            <c:numRef>
              <c:f>'Search by Age'!$D$251:$D$252</c:f>
              <c:numCache>
                <c:formatCode>0.0</c:formatCode>
                <c:ptCount val="2"/>
                <c:pt idx="0">
                  <c:v>0</c:v>
                </c:pt>
                <c:pt idx="1">
                  <c:v>0</c:v>
                </c:pt>
              </c:numCache>
            </c:numRef>
          </c:val>
        </c:ser>
        <c:dLbls/>
        <c:axId val="100610048"/>
        <c:axId val="100611584"/>
      </c:barChart>
      <c:catAx>
        <c:axId val="100610048"/>
        <c:scaling>
          <c:orientation val="minMax"/>
        </c:scaling>
        <c:axPos val="b"/>
        <c:numFmt formatCode="General" sourceLinked="1"/>
        <c:majorTickMark val="none"/>
        <c:tickLblPos val="nextTo"/>
        <c:crossAx val="100611584"/>
        <c:crosses val="autoZero"/>
        <c:auto val="1"/>
        <c:lblAlgn val="ctr"/>
        <c:lblOffset val="100"/>
      </c:catAx>
      <c:valAx>
        <c:axId val="100611584"/>
        <c:scaling>
          <c:orientation val="minMax"/>
          <c:max val="100"/>
        </c:scaling>
        <c:axPos val="l"/>
        <c:majorGridlines/>
        <c:numFmt formatCode="0.0" sourceLinked="1"/>
        <c:majorTickMark val="none"/>
        <c:tickLblPos val="nextTo"/>
        <c:crossAx val="100610048"/>
        <c:crosses val="autoZero"/>
        <c:crossBetween val="between"/>
      </c:valAx>
    </c:plotArea>
    <c:plotVisOnly val="1"/>
    <c:dispBlanksAs val="gap"/>
  </c:chart>
  <c:printSettings>
    <c:headerFooter/>
    <c:pageMargins b="0.75000000000000822" l="0.70000000000000062" r="0.70000000000000062" t="0.75000000000000822" header="0.30000000000000032" footer="0.30000000000000032"/>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c:lang val="en-IE"/>
  <c:chart>
    <c:title>
      <c:tx>
        <c:strRef>
          <c:f>'Search by Age'!$A$258</c:f>
          <c:strCache>
            <c:ptCount val="1"/>
            <c:pt idx="0">
              <c:v>Information or advice received on Alcohol use during your visit </c:v>
            </c:pt>
          </c:strCache>
        </c:strRef>
      </c:tx>
    </c:title>
    <c:plotArea>
      <c:layout/>
      <c:barChart>
        <c:barDir val="col"/>
        <c:grouping val="clustered"/>
        <c:ser>
          <c:idx val="0"/>
          <c:order val="0"/>
          <c:dLbls>
            <c:showVal val="1"/>
          </c:dLbls>
          <c:cat>
            <c:strRef>
              <c:f>'Search by Age'!$A$260:$A$261</c:f>
              <c:strCache>
                <c:ptCount val="2"/>
                <c:pt idx="0">
                  <c:v>Yes</c:v>
                </c:pt>
                <c:pt idx="1">
                  <c:v>No</c:v>
                </c:pt>
              </c:strCache>
            </c:strRef>
          </c:cat>
          <c:val>
            <c:numRef>
              <c:f>'Search by Age'!$D$260:$D$261</c:f>
              <c:numCache>
                <c:formatCode>0.0</c:formatCode>
                <c:ptCount val="2"/>
                <c:pt idx="0">
                  <c:v>0</c:v>
                </c:pt>
                <c:pt idx="1">
                  <c:v>0</c:v>
                </c:pt>
              </c:numCache>
            </c:numRef>
          </c:val>
        </c:ser>
        <c:dLbls/>
        <c:axId val="100619392"/>
        <c:axId val="100620928"/>
      </c:barChart>
      <c:catAx>
        <c:axId val="100619392"/>
        <c:scaling>
          <c:orientation val="minMax"/>
        </c:scaling>
        <c:axPos val="b"/>
        <c:numFmt formatCode="General" sourceLinked="1"/>
        <c:majorTickMark val="none"/>
        <c:tickLblPos val="nextTo"/>
        <c:crossAx val="100620928"/>
        <c:crosses val="autoZero"/>
        <c:auto val="1"/>
        <c:lblAlgn val="ctr"/>
        <c:lblOffset val="100"/>
      </c:catAx>
      <c:valAx>
        <c:axId val="100620928"/>
        <c:scaling>
          <c:orientation val="minMax"/>
          <c:max val="100"/>
        </c:scaling>
        <c:axPos val="l"/>
        <c:majorGridlines/>
        <c:numFmt formatCode="0.0" sourceLinked="1"/>
        <c:majorTickMark val="none"/>
        <c:tickLblPos val="nextTo"/>
        <c:crossAx val="100619392"/>
        <c:crosses val="autoZero"/>
        <c:crossBetween val="between"/>
      </c:valAx>
    </c:plotArea>
    <c:plotVisOnly val="1"/>
    <c:dispBlanksAs val="gap"/>
  </c:chart>
  <c:printSettings>
    <c:headerFooter/>
    <c:pageMargins b="0.75000000000000844" l="0.70000000000000062" r="0.70000000000000062" t="0.75000000000000844" header="0.30000000000000032" footer="0.30000000000000032"/>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c:lang val="en-IE"/>
  <c:chart>
    <c:title>
      <c:tx>
        <c:strRef>
          <c:f>'Search by Age'!$A$267</c:f>
          <c:strCache>
            <c:ptCount val="1"/>
            <c:pt idx="0">
              <c:v>Information or advice received Mental health and wellbeing during your visit</c:v>
            </c:pt>
          </c:strCache>
        </c:strRef>
      </c:tx>
    </c:title>
    <c:plotArea>
      <c:layout/>
      <c:barChart>
        <c:barDir val="col"/>
        <c:grouping val="clustered"/>
        <c:ser>
          <c:idx val="0"/>
          <c:order val="0"/>
          <c:dLbls>
            <c:showVal val="1"/>
          </c:dLbls>
          <c:cat>
            <c:strRef>
              <c:f>'Search by Age'!$A$269:$A$270</c:f>
              <c:strCache>
                <c:ptCount val="2"/>
                <c:pt idx="0">
                  <c:v>Yes</c:v>
                </c:pt>
                <c:pt idx="1">
                  <c:v>No</c:v>
                </c:pt>
              </c:strCache>
            </c:strRef>
          </c:cat>
          <c:val>
            <c:numRef>
              <c:f>'Search by Age'!$D$269:$D$270</c:f>
              <c:numCache>
                <c:formatCode>0.0</c:formatCode>
                <c:ptCount val="2"/>
                <c:pt idx="0">
                  <c:v>0</c:v>
                </c:pt>
                <c:pt idx="1">
                  <c:v>0</c:v>
                </c:pt>
              </c:numCache>
            </c:numRef>
          </c:val>
        </c:ser>
        <c:dLbls/>
        <c:axId val="100661504"/>
        <c:axId val="100667392"/>
      </c:barChart>
      <c:catAx>
        <c:axId val="100661504"/>
        <c:scaling>
          <c:orientation val="minMax"/>
        </c:scaling>
        <c:axPos val="b"/>
        <c:numFmt formatCode="General" sourceLinked="1"/>
        <c:majorTickMark val="none"/>
        <c:tickLblPos val="nextTo"/>
        <c:crossAx val="100667392"/>
        <c:crosses val="autoZero"/>
        <c:auto val="1"/>
        <c:lblAlgn val="ctr"/>
        <c:lblOffset val="100"/>
      </c:catAx>
      <c:valAx>
        <c:axId val="100667392"/>
        <c:scaling>
          <c:orientation val="minMax"/>
          <c:max val="100"/>
        </c:scaling>
        <c:axPos val="l"/>
        <c:majorGridlines/>
        <c:numFmt formatCode="0.0" sourceLinked="1"/>
        <c:majorTickMark val="none"/>
        <c:tickLblPos val="nextTo"/>
        <c:crossAx val="100661504"/>
        <c:crosses val="autoZero"/>
        <c:crossBetween val="between"/>
      </c:valAx>
    </c:plotArea>
    <c:plotVisOnly val="1"/>
    <c:dispBlanksAs val="gap"/>
  </c:chart>
  <c:printSettings>
    <c:headerFooter/>
    <c:pageMargins b="0.75000000000000866" l="0.70000000000000062" r="0.70000000000000062" t="0.75000000000000866" header="0.30000000000000032" footer="0.30000000000000032"/>
    <c:pageSetup/>
  </c:printSettings>
</c:chartSpace>
</file>

<file path=xl/charts/chart96.xml><?xml version="1.0" encoding="utf-8"?>
<c:chartSpace xmlns:c="http://schemas.openxmlformats.org/drawingml/2006/chart" xmlns:a="http://schemas.openxmlformats.org/drawingml/2006/main" xmlns:r="http://schemas.openxmlformats.org/officeDocument/2006/relationships">
  <c:lang val="en-IE"/>
  <c:chart>
    <c:title>
      <c:tx>
        <c:strRef>
          <c:f>'Search by Age'!$A$276</c:f>
          <c:strCache>
            <c:ptCount val="1"/>
            <c:pt idx="0">
              <c:v>Information or advice received on Dementia during your visit</c:v>
            </c:pt>
          </c:strCache>
        </c:strRef>
      </c:tx>
    </c:title>
    <c:plotArea>
      <c:layout/>
      <c:barChart>
        <c:barDir val="col"/>
        <c:grouping val="clustered"/>
        <c:ser>
          <c:idx val="0"/>
          <c:order val="0"/>
          <c:dLbls>
            <c:showVal val="1"/>
          </c:dLbls>
          <c:cat>
            <c:strRef>
              <c:f>'Search by Age'!$A$278:$A$279</c:f>
              <c:strCache>
                <c:ptCount val="2"/>
                <c:pt idx="0">
                  <c:v>Yes</c:v>
                </c:pt>
                <c:pt idx="1">
                  <c:v>No</c:v>
                </c:pt>
              </c:strCache>
            </c:strRef>
          </c:cat>
          <c:val>
            <c:numRef>
              <c:f>'Search by Age'!$D$278:$D$279</c:f>
              <c:numCache>
                <c:formatCode>0.0</c:formatCode>
                <c:ptCount val="2"/>
                <c:pt idx="0">
                  <c:v>0</c:v>
                </c:pt>
                <c:pt idx="1">
                  <c:v>0</c:v>
                </c:pt>
              </c:numCache>
            </c:numRef>
          </c:val>
        </c:ser>
        <c:dLbls/>
        <c:axId val="100696064"/>
        <c:axId val="100697600"/>
      </c:barChart>
      <c:catAx>
        <c:axId val="100696064"/>
        <c:scaling>
          <c:orientation val="minMax"/>
        </c:scaling>
        <c:axPos val="b"/>
        <c:numFmt formatCode="General" sourceLinked="1"/>
        <c:majorTickMark val="none"/>
        <c:tickLblPos val="nextTo"/>
        <c:crossAx val="100697600"/>
        <c:crosses val="autoZero"/>
        <c:auto val="1"/>
        <c:lblAlgn val="ctr"/>
        <c:lblOffset val="100"/>
      </c:catAx>
      <c:valAx>
        <c:axId val="100697600"/>
        <c:scaling>
          <c:orientation val="minMax"/>
          <c:max val="100"/>
        </c:scaling>
        <c:axPos val="l"/>
        <c:majorGridlines/>
        <c:numFmt formatCode="0.0" sourceLinked="1"/>
        <c:majorTickMark val="none"/>
        <c:tickLblPos val="nextTo"/>
        <c:crossAx val="100696064"/>
        <c:crosses val="autoZero"/>
        <c:crossBetween val="between"/>
      </c:valAx>
    </c:plotArea>
    <c:plotVisOnly val="1"/>
    <c:dispBlanksAs val="gap"/>
  </c:chart>
  <c:printSettings>
    <c:headerFooter/>
    <c:pageMargins b="0.75000000000000888" l="0.70000000000000062" r="0.70000000000000062" t="0.75000000000000888" header="0.30000000000000032" footer="0.30000000000000032"/>
    <c:pageSetup/>
  </c:printSettings>
</c:chartSpace>
</file>

<file path=xl/charts/chart97.xml><?xml version="1.0" encoding="utf-8"?>
<c:chartSpace xmlns:c="http://schemas.openxmlformats.org/drawingml/2006/chart" xmlns:a="http://schemas.openxmlformats.org/drawingml/2006/main" xmlns:r="http://schemas.openxmlformats.org/officeDocument/2006/relationships">
  <c:lang val="en-IE"/>
  <c:chart>
    <c:title>
      <c:tx>
        <c:strRef>
          <c:f>'Search by Age'!$A$285</c:f>
          <c:strCache>
            <c:ptCount val="1"/>
            <c:pt idx="0">
              <c:v>Information or advice received on Falls prevention during your visit</c:v>
            </c:pt>
          </c:strCache>
        </c:strRef>
      </c:tx>
    </c:title>
    <c:plotArea>
      <c:layout/>
      <c:barChart>
        <c:barDir val="col"/>
        <c:grouping val="clustered"/>
        <c:ser>
          <c:idx val="0"/>
          <c:order val="0"/>
          <c:dLbls>
            <c:showVal val="1"/>
          </c:dLbls>
          <c:cat>
            <c:strRef>
              <c:f>'Search by Age'!$A$287:$A$288</c:f>
              <c:strCache>
                <c:ptCount val="2"/>
                <c:pt idx="0">
                  <c:v>Yes</c:v>
                </c:pt>
                <c:pt idx="1">
                  <c:v>No</c:v>
                </c:pt>
              </c:strCache>
            </c:strRef>
          </c:cat>
          <c:val>
            <c:numRef>
              <c:f>'Search by Age'!$D$287:$D$288</c:f>
              <c:numCache>
                <c:formatCode>0.0</c:formatCode>
                <c:ptCount val="2"/>
                <c:pt idx="0">
                  <c:v>0</c:v>
                </c:pt>
                <c:pt idx="1">
                  <c:v>0</c:v>
                </c:pt>
              </c:numCache>
            </c:numRef>
          </c:val>
        </c:ser>
        <c:dLbls/>
        <c:axId val="100722176"/>
        <c:axId val="100723712"/>
      </c:barChart>
      <c:catAx>
        <c:axId val="100722176"/>
        <c:scaling>
          <c:orientation val="minMax"/>
        </c:scaling>
        <c:axPos val="b"/>
        <c:numFmt formatCode="General" sourceLinked="1"/>
        <c:majorTickMark val="none"/>
        <c:tickLblPos val="nextTo"/>
        <c:crossAx val="100723712"/>
        <c:crosses val="autoZero"/>
        <c:auto val="1"/>
        <c:lblAlgn val="ctr"/>
        <c:lblOffset val="100"/>
      </c:catAx>
      <c:valAx>
        <c:axId val="100723712"/>
        <c:scaling>
          <c:orientation val="minMax"/>
        </c:scaling>
        <c:axPos val="l"/>
        <c:majorGridlines/>
        <c:numFmt formatCode="0.0" sourceLinked="1"/>
        <c:majorTickMark val="none"/>
        <c:tickLblPos val="nextTo"/>
        <c:crossAx val="100722176"/>
        <c:crosses val="autoZero"/>
        <c:crossBetween val="between"/>
      </c:valAx>
    </c:plotArea>
    <c:plotVisOnly val="1"/>
    <c:dispBlanksAs val="gap"/>
  </c:chart>
  <c:printSettings>
    <c:headerFooter/>
    <c:pageMargins b="0.7500000000000091" l="0.70000000000000062" r="0.70000000000000062" t="0.7500000000000091" header="0.30000000000000032" footer="0.30000000000000032"/>
    <c:pageSetup/>
  </c:printSettings>
</c:chartSpace>
</file>

<file path=xl/charts/chart98.xml><?xml version="1.0" encoding="utf-8"?>
<c:chartSpace xmlns:c="http://schemas.openxmlformats.org/drawingml/2006/chart" xmlns:a="http://schemas.openxmlformats.org/drawingml/2006/main" xmlns:r="http://schemas.openxmlformats.org/officeDocument/2006/relationships">
  <c:lang val="en-IE"/>
  <c:chart>
    <c:title>
      <c:tx>
        <c:strRef>
          <c:f>'Search by Age'!$A$294</c:f>
          <c:strCache>
            <c:ptCount val="1"/>
            <c:pt idx="0">
              <c:v>Information or advice received on Drug use during your visit</c:v>
            </c:pt>
          </c:strCache>
        </c:strRef>
      </c:tx>
    </c:title>
    <c:plotArea>
      <c:layout/>
      <c:barChart>
        <c:barDir val="col"/>
        <c:grouping val="clustered"/>
        <c:ser>
          <c:idx val="0"/>
          <c:order val="0"/>
          <c:dLbls>
            <c:showVal val="1"/>
          </c:dLbls>
          <c:cat>
            <c:strRef>
              <c:f>'Search by Age'!$A$296:$A$297</c:f>
              <c:strCache>
                <c:ptCount val="2"/>
                <c:pt idx="0">
                  <c:v>Yes</c:v>
                </c:pt>
                <c:pt idx="1">
                  <c:v>No</c:v>
                </c:pt>
              </c:strCache>
            </c:strRef>
          </c:cat>
          <c:val>
            <c:numRef>
              <c:f>'Search by Age'!$D$296:$D$297</c:f>
              <c:numCache>
                <c:formatCode>0.0</c:formatCode>
                <c:ptCount val="2"/>
                <c:pt idx="0">
                  <c:v>0</c:v>
                </c:pt>
                <c:pt idx="1">
                  <c:v>0</c:v>
                </c:pt>
              </c:numCache>
            </c:numRef>
          </c:val>
        </c:ser>
        <c:dLbls/>
        <c:axId val="100752000"/>
        <c:axId val="100757888"/>
      </c:barChart>
      <c:catAx>
        <c:axId val="100752000"/>
        <c:scaling>
          <c:orientation val="minMax"/>
        </c:scaling>
        <c:axPos val="b"/>
        <c:numFmt formatCode="General" sourceLinked="1"/>
        <c:majorTickMark val="none"/>
        <c:tickLblPos val="nextTo"/>
        <c:crossAx val="100757888"/>
        <c:crosses val="autoZero"/>
        <c:auto val="1"/>
        <c:lblAlgn val="ctr"/>
        <c:lblOffset val="100"/>
      </c:catAx>
      <c:valAx>
        <c:axId val="100757888"/>
        <c:scaling>
          <c:orientation val="minMax"/>
          <c:max val="100"/>
        </c:scaling>
        <c:axPos val="l"/>
        <c:majorGridlines/>
        <c:numFmt formatCode="0.0" sourceLinked="1"/>
        <c:majorTickMark val="none"/>
        <c:tickLblPos val="nextTo"/>
        <c:crossAx val="100752000"/>
        <c:crosses val="autoZero"/>
        <c:crossBetween val="between"/>
      </c:valAx>
    </c:plotArea>
    <c:plotVisOnly val="1"/>
    <c:dispBlanksAs val="gap"/>
  </c:chart>
  <c:printSettings>
    <c:headerFooter/>
    <c:pageMargins b="0.75000000000000933" l="0.70000000000000062" r="0.70000000000000062" t="0.75000000000000933" header="0.30000000000000032" footer="0.30000000000000032"/>
    <c:pageSetup/>
  </c:printSettings>
</c:chartSpace>
</file>

<file path=xl/charts/chart99.xml><?xml version="1.0" encoding="utf-8"?>
<c:chartSpace xmlns:c="http://schemas.openxmlformats.org/drawingml/2006/chart" xmlns:a="http://schemas.openxmlformats.org/drawingml/2006/main" xmlns:r="http://schemas.openxmlformats.org/officeDocument/2006/relationships">
  <c:lang val="en-IE"/>
  <c:chart>
    <c:title>
      <c:tx>
        <c:strRef>
          <c:f>'Search by Age'!$A$303</c:f>
          <c:strCache>
            <c:ptCount val="1"/>
            <c:pt idx="0">
              <c:v>Information or advice received on Other issues during your visit today</c:v>
            </c:pt>
          </c:strCache>
        </c:strRef>
      </c:tx>
    </c:title>
    <c:plotArea>
      <c:layout/>
      <c:barChart>
        <c:barDir val="col"/>
        <c:grouping val="clustered"/>
        <c:ser>
          <c:idx val="0"/>
          <c:order val="0"/>
          <c:dLbls>
            <c:showVal val="1"/>
          </c:dLbls>
          <c:cat>
            <c:strRef>
              <c:f>'Search by Age'!$A$305:$A$306</c:f>
              <c:strCache>
                <c:ptCount val="2"/>
                <c:pt idx="0">
                  <c:v>Yes</c:v>
                </c:pt>
                <c:pt idx="1">
                  <c:v>No</c:v>
                </c:pt>
              </c:strCache>
            </c:strRef>
          </c:cat>
          <c:val>
            <c:numRef>
              <c:f>'Search by Age'!$D$305:$D$306</c:f>
              <c:numCache>
                <c:formatCode>0.0</c:formatCode>
                <c:ptCount val="2"/>
                <c:pt idx="0">
                  <c:v>0</c:v>
                </c:pt>
                <c:pt idx="1">
                  <c:v>0</c:v>
                </c:pt>
              </c:numCache>
            </c:numRef>
          </c:val>
        </c:ser>
        <c:dLbls/>
        <c:axId val="100786176"/>
        <c:axId val="100787712"/>
      </c:barChart>
      <c:catAx>
        <c:axId val="100786176"/>
        <c:scaling>
          <c:orientation val="minMax"/>
        </c:scaling>
        <c:axPos val="b"/>
        <c:numFmt formatCode="General" sourceLinked="1"/>
        <c:majorTickMark val="none"/>
        <c:tickLblPos val="nextTo"/>
        <c:crossAx val="100787712"/>
        <c:crosses val="autoZero"/>
        <c:auto val="1"/>
        <c:lblAlgn val="ctr"/>
        <c:lblOffset val="100"/>
      </c:catAx>
      <c:valAx>
        <c:axId val="100787712"/>
        <c:scaling>
          <c:orientation val="minMax"/>
          <c:max val="100"/>
        </c:scaling>
        <c:axPos val="l"/>
        <c:majorGridlines/>
        <c:numFmt formatCode="0.0" sourceLinked="1"/>
        <c:majorTickMark val="none"/>
        <c:tickLblPos val="nextTo"/>
        <c:crossAx val="100786176"/>
        <c:crosses val="autoZero"/>
        <c:crossBetween val="between"/>
      </c:valAx>
    </c:plotArea>
    <c:plotVisOnly val="1"/>
    <c:dispBlanksAs val="gap"/>
  </c:chart>
  <c:printSettings>
    <c:headerFooter/>
    <c:pageMargins b="0.75000000000000955" l="0.70000000000000062" r="0.70000000000000062" t="0.7500000000000095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chart" Target="../charts/chart34.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3.xml.rels><?xml version="1.0" encoding="UTF-8" standalone="yes"?>
<Relationships xmlns="http://schemas.openxmlformats.org/package/2006/relationships"><Relationship Id="rId8" Type="http://schemas.openxmlformats.org/officeDocument/2006/relationships/chart" Target="../charts/chart43.xml"/><Relationship Id="rId13" Type="http://schemas.openxmlformats.org/officeDocument/2006/relationships/chart" Target="../charts/chart48.xml"/><Relationship Id="rId18" Type="http://schemas.openxmlformats.org/officeDocument/2006/relationships/chart" Target="../charts/chart53.xml"/><Relationship Id="rId26" Type="http://schemas.openxmlformats.org/officeDocument/2006/relationships/chart" Target="../charts/chart61.xml"/><Relationship Id="rId3" Type="http://schemas.openxmlformats.org/officeDocument/2006/relationships/chart" Target="../charts/chart38.xml"/><Relationship Id="rId21" Type="http://schemas.openxmlformats.org/officeDocument/2006/relationships/chart" Target="../charts/chart56.xml"/><Relationship Id="rId34" Type="http://schemas.openxmlformats.org/officeDocument/2006/relationships/chart" Target="../charts/chart69.xml"/><Relationship Id="rId7" Type="http://schemas.openxmlformats.org/officeDocument/2006/relationships/chart" Target="../charts/chart42.xml"/><Relationship Id="rId12" Type="http://schemas.openxmlformats.org/officeDocument/2006/relationships/chart" Target="../charts/chart47.xml"/><Relationship Id="rId17" Type="http://schemas.openxmlformats.org/officeDocument/2006/relationships/chart" Target="../charts/chart52.xml"/><Relationship Id="rId25" Type="http://schemas.openxmlformats.org/officeDocument/2006/relationships/chart" Target="../charts/chart60.xml"/><Relationship Id="rId33" Type="http://schemas.openxmlformats.org/officeDocument/2006/relationships/chart" Target="../charts/chart68.xml"/><Relationship Id="rId2" Type="http://schemas.openxmlformats.org/officeDocument/2006/relationships/chart" Target="../charts/chart37.xml"/><Relationship Id="rId16" Type="http://schemas.openxmlformats.org/officeDocument/2006/relationships/chart" Target="../charts/chart51.xml"/><Relationship Id="rId20" Type="http://schemas.openxmlformats.org/officeDocument/2006/relationships/chart" Target="../charts/chart55.xml"/><Relationship Id="rId29" Type="http://schemas.openxmlformats.org/officeDocument/2006/relationships/chart" Target="../charts/chart64.xml"/><Relationship Id="rId1" Type="http://schemas.openxmlformats.org/officeDocument/2006/relationships/chart" Target="../charts/chart36.xml"/><Relationship Id="rId6" Type="http://schemas.openxmlformats.org/officeDocument/2006/relationships/chart" Target="../charts/chart41.xml"/><Relationship Id="rId11" Type="http://schemas.openxmlformats.org/officeDocument/2006/relationships/chart" Target="../charts/chart46.xml"/><Relationship Id="rId24" Type="http://schemas.openxmlformats.org/officeDocument/2006/relationships/chart" Target="../charts/chart59.xml"/><Relationship Id="rId32" Type="http://schemas.openxmlformats.org/officeDocument/2006/relationships/chart" Target="../charts/chart67.xml"/><Relationship Id="rId5" Type="http://schemas.openxmlformats.org/officeDocument/2006/relationships/chart" Target="../charts/chart40.xml"/><Relationship Id="rId15" Type="http://schemas.openxmlformats.org/officeDocument/2006/relationships/chart" Target="../charts/chart50.xml"/><Relationship Id="rId23" Type="http://schemas.openxmlformats.org/officeDocument/2006/relationships/chart" Target="../charts/chart58.xml"/><Relationship Id="rId28" Type="http://schemas.openxmlformats.org/officeDocument/2006/relationships/chart" Target="../charts/chart63.xml"/><Relationship Id="rId10" Type="http://schemas.openxmlformats.org/officeDocument/2006/relationships/chart" Target="../charts/chart45.xml"/><Relationship Id="rId19" Type="http://schemas.openxmlformats.org/officeDocument/2006/relationships/chart" Target="../charts/chart54.xml"/><Relationship Id="rId31" Type="http://schemas.openxmlformats.org/officeDocument/2006/relationships/chart" Target="../charts/chart66.xml"/><Relationship Id="rId4" Type="http://schemas.openxmlformats.org/officeDocument/2006/relationships/chart" Target="../charts/chart39.xml"/><Relationship Id="rId9" Type="http://schemas.openxmlformats.org/officeDocument/2006/relationships/chart" Target="../charts/chart44.xml"/><Relationship Id="rId14" Type="http://schemas.openxmlformats.org/officeDocument/2006/relationships/chart" Target="../charts/chart49.xml"/><Relationship Id="rId22" Type="http://schemas.openxmlformats.org/officeDocument/2006/relationships/chart" Target="../charts/chart57.xml"/><Relationship Id="rId27" Type="http://schemas.openxmlformats.org/officeDocument/2006/relationships/chart" Target="../charts/chart62.xml"/><Relationship Id="rId30" Type="http://schemas.openxmlformats.org/officeDocument/2006/relationships/chart" Target="../charts/chart65.xml"/></Relationships>
</file>

<file path=xl/drawings/_rels/drawing4.xml.rels><?xml version="1.0" encoding="UTF-8" standalone="yes"?>
<Relationships xmlns="http://schemas.openxmlformats.org/package/2006/relationships"><Relationship Id="rId8" Type="http://schemas.openxmlformats.org/officeDocument/2006/relationships/chart" Target="../charts/chart77.xml"/><Relationship Id="rId13" Type="http://schemas.openxmlformats.org/officeDocument/2006/relationships/chart" Target="../charts/chart82.xml"/><Relationship Id="rId18" Type="http://schemas.openxmlformats.org/officeDocument/2006/relationships/chart" Target="../charts/chart87.xml"/><Relationship Id="rId26" Type="http://schemas.openxmlformats.org/officeDocument/2006/relationships/chart" Target="../charts/chart95.xml"/><Relationship Id="rId3" Type="http://schemas.openxmlformats.org/officeDocument/2006/relationships/chart" Target="../charts/chart72.xml"/><Relationship Id="rId21" Type="http://schemas.openxmlformats.org/officeDocument/2006/relationships/chart" Target="../charts/chart90.xml"/><Relationship Id="rId34" Type="http://schemas.openxmlformats.org/officeDocument/2006/relationships/chart" Target="../charts/chart103.xml"/><Relationship Id="rId7" Type="http://schemas.openxmlformats.org/officeDocument/2006/relationships/chart" Target="../charts/chart76.xml"/><Relationship Id="rId12" Type="http://schemas.openxmlformats.org/officeDocument/2006/relationships/chart" Target="../charts/chart81.xml"/><Relationship Id="rId17" Type="http://schemas.openxmlformats.org/officeDocument/2006/relationships/chart" Target="../charts/chart86.xml"/><Relationship Id="rId25" Type="http://schemas.openxmlformats.org/officeDocument/2006/relationships/chart" Target="../charts/chart94.xml"/><Relationship Id="rId33" Type="http://schemas.openxmlformats.org/officeDocument/2006/relationships/chart" Target="../charts/chart102.xml"/><Relationship Id="rId2" Type="http://schemas.openxmlformats.org/officeDocument/2006/relationships/chart" Target="../charts/chart71.xml"/><Relationship Id="rId16" Type="http://schemas.openxmlformats.org/officeDocument/2006/relationships/chart" Target="../charts/chart85.xml"/><Relationship Id="rId20" Type="http://schemas.openxmlformats.org/officeDocument/2006/relationships/chart" Target="../charts/chart89.xml"/><Relationship Id="rId29" Type="http://schemas.openxmlformats.org/officeDocument/2006/relationships/chart" Target="../charts/chart98.xml"/><Relationship Id="rId1" Type="http://schemas.openxmlformats.org/officeDocument/2006/relationships/chart" Target="../charts/chart70.xml"/><Relationship Id="rId6" Type="http://schemas.openxmlformats.org/officeDocument/2006/relationships/chart" Target="../charts/chart75.xml"/><Relationship Id="rId11" Type="http://schemas.openxmlformats.org/officeDocument/2006/relationships/chart" Target="../charts/chart80.xml"/><Relationship Id="rId24" Type="http://schemas.openxmlformats.org/officeDocument/2006/relationships/chart" Target="../charts/chart93.xml"/><Relationship Id="rId32" Type="http://schemas.openxmlformats.org/officeDocument/2006/relationships/chart" Target="../charts/chart101.xml"/><Relationship Id="rId5" Type="http://schemas.openxmlformats.org/officeDocument/2006/relationships/chart" Target="../charts/chart74.xml"/><Relationship Id="rId15" Type="http://schemas.openxmlformats.org/officeDocument/2006/relationships/chart" Target="../charts/chart84.xml"/><Relationship Id="rId23" Type="http://schemas.openxmlformats.org/officeDocument/2006/relationships/chart" Target="../charts/chart92.xml"/><Relationship Id="rId28" Type="http://schemas.openxmlformats.org/officeDocument/2006/relationships/chart" Target="../charts/chart97.xml"/><Relationship Id="rId10" Type="http://schemas.openxmlformats.org/officeDocument/2006/relationships/chart" Target="../charts/chart79.xml"/><Relationship Id="rId19" Type="http://schemas.openxmlformats.org/officeDocument/2006/relationships/chart" Target="../charts/chart88.xml"/><Relationship Id="rId31" Type="http://schemas.openxmlformats.org/officeDocument/2006/relationships/chart" Target="../charts/chart100.xml"/><Relationship Id="rId4" Type="http://schemas.openxmlformats.org/officeDocument/2006/relationships/chart" Target="../charts/chart73.xml"/><Relationship Id="rId9" Type="http://schemas.openxmlformats.org/officeDocument/2006/relationships/chart" Target="../charts/chart78.xml"/><Relationship Id="rId14" Type="http://schemas.openxmlformats.org/officeDocument/2006/relationships/chart" Target="../charts/chart83.xml"/><Relationship Id="rId22" Type="http://schemas.openxmlformats.org/officeDocument/2006/relationships/chart" Target="../charts/chart91.xml"/><Relationship Id="rId27" Type="http://schemas.openxmlformats.org/officeDocument/2006/relationships/chart" Target="../charts/chart96.xml"/><Relationship Id="rId30" Type="http://schemas.openxmlformats.org/officeDocument/2006/relationships/chart" Target="../charts/chart99.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11.xml"/><Relationship Id="rId13" Type="http://schemas.openxmlformats.org/officeDocument/2006/relationships/chart" Target="../charts/chart116.xml"/><Relationship Id="rId18" Type="http://schemas.openxmlformats.org/officeDocument/2006/relationships/chart" Target="../charts/chart121.xml"/><Relationship Id="rId26" Type="http://schemas.openxmlformats.org/officeDocument/2006/relationships/chart" Target="../charts/chart129.xml"/><Relationship Id="rId3" Type="http://schemas.openxmlformats.org/officeDocument/2006/relationships/chart" Target="../charts/chart106.xml"/><Relationship Id="rId21" Type="http://schemas.openxmlformats.org/officeDocument/2006/relationships/chart" Target="../charts/chart124.xml"/><Relationship Id="rId34" Type="http://schemas.openxmlformats.org/officeDocument/2006/relationships/chart" Target="../charts/chart137.xml"/><Relationship Id="rId7" Type="http://schemas.openxmlformats.org/officeDocument/2006/relationships/chart" Target="../charts/chart110.xml"/><Relationship Id="rId12" Type="http://schemas.openxmlformats.org/officeDocument/2006/relationships/chart" Target="../charts/chart115.xml"/><Relationship Id="rId17" Type="http://schemas.openxmlformats.org/officeDocument/2006/relationships/chart" Target="../charts/chart120.xml"/><Relationship Id="rId25" Type="http://schemas.openxmlformats.org/officeDocument/2006/relationships/chart" Target="../charts/chart128.xml"/><Relationship Id="rId33" Type="http://schemas.openxmlformats.org/officeDocument/2006/relationships/chart" Target="../charts/chart136.xml"/><Relationship Id="rId2" Type="http://schemas.openxmlformats.org/officeDocument/2006/relationships/chart" Target="../charts/chart105.xml"/><Relationship Id="rId16" Type="http://schemas.openxmlformats.org/officeDocument/2006/relationships/chart" Target="../charts/chart119.xml"/><Relationship Id="rId20" Type="http://schemas.openxmlformats.org/officeDocument/2006/relationships/chart" Target="../charts/chart123.xml"/><Relationship Id="rId29" Type="http://schemas.openxmlformats.org/officeDocument/2006/relationships/chart" Target="../charts/chart132.xml"/><Relationship Id="rId1" Type="http://schemas.openxmlformats.org/officeDocument/2006/relationships/chart" Target="../charts/chart104.xml"/><Relationship Id="rId6" Type="http://schemas.openxmlformats.org/officeDocument/2006/relationships/chart" Target="../charts/chart109.xml"/><Relationship Id="rId11" Type="http://schemas.openxmlformats.org/officeDocument/2006/relationships/chart" Target="../charts/chart114.xml"/><Relationship Id="rId24" Type="http://schemas.openxmlformats.org/officeDocument/2006/relationships/chart" Target="../charts/chart127.xml"/><Relationship Id="rId32" Type="http://schemas.openxmlformats.org/officeDocument/2006/relationships/chart" Target="../charts/chart135.xml"/><Relationship Id="rId5" Type="http://schemas.openxmlformats.org/officeDocument/2006/relationships/chart" Target="../charts/chart108.xml"/><Relationship Id="rId15" Type="http://schemas.openxmlformats.org/officeDocument/2006/relationships/chart" Target="../charts/chart118.xml"/><Relationship Id="rId23" Type="http://schemas.openxmlformats.org/officeDocument/2006/relationships/chart" Target="../charts/chart126.xml"/><Relationship Id="rId28" Type="http://schemas.openxmlformats.org/officeDocument/2006/relationships/chart" Target="../charts/chart131.xml"/><Relationship Id="rId10" Type="http://schemas.openxmlformats.org/officeDocument/2006/relationships/chart" Target="../charts/chart113.xml"/><Relationship Id="rId19" Type="http://schemas.openxmlformats.org/officeDocument/2006/relationships/chart" Target="../charts/chart122.xml"/><Relationship Id="rId31" Type="http://schemas.openxmlformats.org/officeDocument/2006/relationships/chart" Target="../charts/chart134.xml"/><Relationship Id="rId4" Type="http://schemas.openxmlformats.org/officeDocument/2006/relationships/chart" Target="../charts/chart107.xml"/><Relationship Id="rId9" Type="http://schemas.openxmlformats.org/officeDocument/2006/relationships/chart" Target="../charts/chart112.xml"/><Relationship Id="rId14" Type="http://schemas.openxmlformats.org/officeDocument/2006/relationships/chart" Target="../charts/chart117.xml"/><Relationship Id="rId22" Type="http://schemas.openxmlformats.org/officeDocument/2006/relationships/chart" Target="../charts/chart125.xml"/><Relationship Id="rId27" Type="http://schemas.openxmlformats.org/officeDocument/2006/relationships/chart" Target="../charts/chart130.xml"/><Relationship Id="rId30" Type="http://schemas.openxmlformats.org/officeDocument/2006/relationships/chart" Target="../charts/chart133.xml"/></Relationships>
</file>

<file path=xl/drawings/_rels/drawing6.xml.rels><?xml version="1.0" encoding="UTF-8" standalone="yes"?>
<Relationships xmlns="http://schemas.openxmlformats.org/package/2006/relationships"><Relationship Id="rId8" Type="http://schemas.openxmlformats.org/officeDocument/2006/relationships/chart" Target="../charts/chart145.xml"/><Relationship Id="rId13" Type="http://schemas.openxmlformats.org/officeDocument/2006/relationships/chart" Target="../charts/chart150.xml"/><Relationship Id="rId18" Type="http://schemas.openxmlformats.org/officeDocument/2006/relationships/chart" Target="../charts/chart155.xml"/><Relationship Id="rId26" Type="http://schemas.openxmlformats.org/officeDocument/2006/relationships/chart" Target="../charts/chart163.xml"/><Relationship Id="rId3" Type="http://schemas.openxmlformats.org/officeDocument/2006/relationships/chart" Target="../charts/chart140.xml"/><Relationship Id="rId21" Type="http://schemas.openxmlformats.org/officeDocument/2006/relationships/chart" Target="../charts/chart158.xml"/><Relationship Id="rId34" Type="http://schemas.openxmlformats.org/officeDocument/2006/relationships/chart" Target="../charts/chart171.xml"/><Relationship Id="rId7" Type="http://schemas.openxmlformats.org/officeDocument/2006/relationships/chart" Target="../charts/chart144.xml"/><Relationship Id="rId12" Type="http://schemas.openxmlformats.org/officeDocument/2006/relationships/chart" Target="../charts/chart149.xml"/><Relationship Id="rId17" Type="http://schemas.openxmlformats.org/officeDocument/2006/relationships/chart" Target="../charts/chart154.xml"/><Relationship Id="rId25" Type="http://schemas.openxmlformats.org/officeDocument/2006/relationships/chart" Target="../charts/chart162.xml"/><Relationship Id="rId33" Type="http://schemas.openxmlformats.org/officeDocument/2006/relationships/chart" Target="../charts/chart170.xml"/><Relationship Id="rId2" Type="http://schemas.openxmlformats.org/officeDocument/2006/relationships/chart" Target="../charts/chart139.xml"/><Relationship Id="rId16" Type="http://schemas.openxmlformats.org/officeDocument/2006/relationships/chart" Target="../charts/chart153.xml"/><Relationship Id="rId20" Type="http://schemas.openxmlformats.org/officeDocument/2006/relationships/chart" Target="../charts/chart157.xml"/><Relationship Id="rId29" Type="http://schemas.openxmlformats.org/officeDocument/2006/relationships/chart" Target="../charts/chart166.xml"/><Relationship Id="rId1" Type="http://schemas.openxmlformats.org/officeDocument/2006/relationships/chart" Target="../charts/chart138.xml"/><Relationship Id="rId6" Type="http://schemas.openxmlformats.org/officeDocument/2006/relationships/chart" Target="../charts/chart143.xml"/><Relationship Id="rId11" Type="http://schemas.openxmlformats.org/officeDocument/2006/relationships/chart" Target="../charts/chart148.xml"/><Relationship Id="rId24" Type="http://schemas.openxmlformats.org/officeDocument/2006/relationships/chart" Target="../charts/chart161.xml"/><Relationship Id="rId32" Type="http://schemas.openxmlformats.org/officeDocument/2006/relationships/chart" Target="../charts/chart169.xml"/><Relationship Id="rId5" Type="http://schemas.openxmlformats.org/officeDocument/2006/relationships/chart" Target="../charts/chart142.xml"/><Relationship Id="rId15" Type="http://schemas.openxmlformats.org/officeDocument/2006/relationships/chart" Target="../charts/chart152.xml"/><Relationship Id="rId23" Type="http://schemas.openxmlformats.org/officeDocument/2006/relationships/chart" Target="../charts/chart160.xml"/><Relationship Id="rId28" Type="http://schemas.openxmlformats.org/officeDocument/2006/relationships/chart" Target="../charts/chart165.xml"/><Relationship Id="rId10" Type="http://schemas.openxmlformats.org/officeDocument/2006/relationships/chart" Target="../charts/chart147.xml"/><Relationship Id="rId19" Type="http://schemas.openxmlformats.org/officeDocument/2006/relationships/chart" Target="../charts/chart156.xml"/><Relationship Id="rId31" Type="http://schemas.openxmlformats.org/officeDocument/2006/relationships/chart" Target="../charts/chart168.xml"/><Relationship Id="rId4" Type="http://schemas.openxmlformats.org/officeDocument/2006/relationships/chart" Target="../charts/chart141.xml"/><Relationship Id="rId9" Type="http://schemas.openxmlformats.org/officeDocument/2006/relationships/chart" Target="../charts/chart146.xml"/><Relationship Id="rId14" Type="http://schemas.openxmlformats.org/officeDocument/2006/relationships/chart" Target="../charts/chart151.xml"/><Relationship Id="rId22" Type="http://schemas.openxmlformats.org/officeDocument/2006/relationships/chart" Target="../charts/chart159.xml"/><Relationship Id="rId27" Type="http://schemas.openxmlformats.org/officeDocument/2006/relationships/chart" Target="../charts/chart164.xml"/><Relationship Id="rId30" Type="http://schemas.openxmlformats.org/officeDocument/2006/relationships/chart" Target="../charts/chart167.xml"/></Relationships>
</file>

<file path=xl/drawings/drawing1.xml><?xml version="1.0" encoding="utf-8"?>
<xdr:wsDr xmlns:xdr="http://schemas.openxmlformats.org/drawingml/2006/spreadsheetDrawing" xmlns:a="http://schemas.openxmlformats.org/drawingml/2006/main">
  <xdr:twoCellAnchor>
    <xdr:from>
      <xdr:col>0</xdr:col>
      <xdr:colOff>180977</xdr:colOff>
      <xdr:row>345</xdr:row>
      <xdr:rowOff>123824</xdr:rowOff>
    </xdr:from>
    <xdr:to>
      <xdr:col>3</xdr:col>
      <xdr:colOff>990601</xdr:colOff>
      <xdr:row>361</xdr:row>
      <xdr:rowOff>133349</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95250</xdr:colOff>
      <xdr:row>363</xdr:row>
      <xdr:rowOff>190499</xdr:rowOff>
    </xdr:from>
    <xdr:to>
      <xdr:col>3</xdr:col>
      <xdr:colOff>1209675</xdr:colOff>
      <xdr:row>376</xdr:row>
      <xdr:rowOff>66674</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123825</xdr:colOff>
      <xdr:row>378</xdr:row>
      <xdr:rowOff>28574</xdr:rowOff>
    </xdr:from>
    <xdr:to>
      <xdr:col>3</xdr:col>
      <xdr:colOff>1190625</xdr:colOff>
      <xdr:row>395</xdr:row>
      <xdr:rowOff>19049</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66675</xdr:colOff>
      <xdr:row>397</xdr:row>
      <xdr:rowOff>19051</xdr:rowOff>
    </xdr:from>
    <xdr:to>
      <xdr:col>3</xdr:col>
      <xdr:colOff>1209675</xdr:colOff>
      <xdr:row>411</xdr:row>
      <xdr:rowOff>152401</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114300</xdr:colOff>
      <xdr:row>413</xdr:row>
      <xdr:rowOff>152400</xdr:rowOff>
    </xdr:from>
    <xdr:to>
      <xdr:col>3</xdr:col>
      <xdr:colOff>1181100</xdr:colOff>
      <xdr:row>426</xdr:row>
      <xdr:rowOff>133350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114300</xdr:colOff>
      <xdr:row>428</xdr:row>
      <xdr:rowOff>190499</xdr:rowOff>
    </xdr:from>
    <xdr:to>
      <xdr:col>3</xdr:col>
      <xdr:colOff>1143000</xdr:colOff>
      <xdr:row>447</xdr:row>
      <xdr:rowOff>85724</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123825</xdr:colOff>
      <xdr:row>449</xdr:row>
      <xdr:rowOff>133350</xdr:rowOff>
    </xdr:from>
    <xdr:to>
      <xdr:col>3</xdr:col>
      <xdr:colOff>1209675</xdr:colOff>
      <xdr:row>466</xdr:row>
      <xdr:rowOff>76200</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85725</xdr:colOff>
      <xdr:row>469</xdr:row>
      <xdr:rowOff>0</xdr:rowOff>
    </xdr:from>
    <xdr:to>
      <xdr:col>3</xdr:col>
      <xdr:colOff>1209675</xdr:colOff>
      <xdr:row>482</xdr:row>
      <xdr:rowOff>114300</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484</xdr:row>
      <xdr:rowOff>0</xdr:rowOff>
    </xdr:from>
    <xdr:to>
      <xdr:col>3</xdr:col>
      <xdr:colOff>1238250</xdr:colOff>
      <xdr:row>498</xdr:row>
      <xdr:rowOff>76200</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66675</xdr:colOff>
      <xdr:row>501</xdr:row>
      <xdr:rowOff>19049</xdr:rowOff>
    </xdr:from>
    <xdr:to>
      <xdr:col>3</xdr:col>
      <xdr:colOff>1171575</xdr:colOff>
      <xdr:row>515</xdr:row>
      <xdr:rowOff>85725</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76200</xdr:colOff>
      <xdr:row>519</xdr:row>
      <xdr:rowOff>38100</xdr:rowOff>
    </xdr:from>
    <xdr:to>
      <xdr:col>3</xdr:col>
      <xdr:colOff>1181100</xdr:colOff>
      <xdr:row>532</xdr:row>
      <xdr:rowOff>114300</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85725</xdr:colOff>
      <xdr:row>534</xdr:row>
      <xdr:rowOff>152400</xdr:rowOff>
    </xdr:from>
    <xdr:to>
      <xdr:col>3</xdr:col>
      <xdr:colOff>1162050</xdr:colOff>
      <xdr:row>550</xdr:row>
      <xdr:rowOff>114300</xdr:rowOff>
    </xdr:to>
    <xdr:graphicFrame macro="">
      <xdr:nvGraphicFramePr>
        <xdr:cNvPr id="17" name="Chart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66675</xdr:colOff>
      <xdr:row>552</xdr:row>
      <xdr:rowOff>171450</xdr:rowOff>
    </xdr:from>
    <xdr:to>
      <xdr:col>3</xdr:col>
      <xdr:colOff>1285875</xdr:colOff>
      <xdr:row>567</xdr:row>
      <xdr:rowOff>57150</xdr:rowOff>
    </xdr:to>
    <xdr:graphicFrame macro="">
      <xdr:nvGraphicFramePr>
        <xdr:cNvPr id="18" name="Chart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95250</xdr:colOff>
      <xdr:row>568</xdr:row>
      <xdr:rowOff>180975</xdr:rowOff>
    </xdr:from>
    <xdr:to>
      <xdr:col>3</xdr:col>
      <xdr:colOff>1190625</xdr:colOff>
      <xdr:row>582</xdr:row>
      <xdr:rowOff>142875</xdr:rowOff>
    </xdr:to>
    <xdr:graphicFrame macro="">
      <xdr:nvGraphicFramePr>
        <xdr:cNvPr id="19" name="Chart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95250</xdr:colOff>
      <xdr:row>585</xdr:row>
      <xdr:rowOff>19049</xdr:rowOff>
    </xdr:from>
    <xdr:to>
      <xdr:col>3</xdr:col>
      <xdr:colOff>1181100</xdr:colOff>
      <xdr:row>600</xdr:row>
      <xdr:rowOff>123824</xdr:rowOff>
    </xdr:to>
    <xdr:graphicFrame macro="">
      <xdr:nvGraphicFramePr>
        <xdr:cNvPr id="20" name="Chart 1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133350</xdr:colOff>
      <xdr:row>602</xdr:row>
      <xdr:rowOff>38100</xdr:rowOff>
    </xdr:from>
    <xdr:to>
      <xdr:col>3</xdr:col>
      <xdr:colOff>1133475</xdr:colOff>
      <xdr:row>616</xdr:row>
      <xdr:rowOff>47625</xdr:rowOff>
    </xdr:to>
    <xdr:graphicFrame macro="">
      <xdr:nvGraphicFramePr>
        <xdr:cNvPr id="21" name="Chart 2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95250</xdr:colOff>
      <xdr:row>618</xdr:row>
      <xdr:rowOff>161924</xdr:rowOff>
    </xdr:from>
    <xdr:to>
      <xdr:col>3</xdr:col>
      <xdr:colOff>1181100</xdr:colOff>
      <xdr:row>634</xdr:row>
      <xdr:rowOff>133349</xdr:rowOff>
    </xdr:to>
    <xdr:graphicFrame macro="">
      <xdr:nvGraphicFramePr>
        <xdr:cNvPr id="22" name="Chart 2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0</xdr:col>
      <xdr:colOff>85725</xdr:colOff>
      <xdr:row>636</xdr:row>
      <xdr:rowOff>9525</xdr:rowOff>
    </xdr:from>
    <xdr:to>
      <xdr:col>3</xdr:col>
      <xdr:colOff>1200150</xdr:colOff>
      <xdr:row>650</xdr:row>
      <xdr:rowOff>85725</xdr:rowOff>
    </xdr:to>
    <xdr:graphicFrame macro="">
      <xdr:nvGraphicFramePr>
        <xdr:cNvPr id="23" name="Chart 2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152400</xdr:colOff>
      <xdr:row>653</xdr:row>
      <xdr:rowOff>133350</xdr:rowOff>
    </xdr:from>
    <xdr:to>
      <xdr:col>3</xdr:col>
      <xdr:colOff>1133475</xdr:colOff>
      <xdr:row>668</xdr:row>
      <xdr:rowOff>28575</xdr:rowOff>
    </xdr:to>
    <xdr:graphicFrame macro="">
      <xdr:nvGraphicFramePr>
        <xdr:cNvPr id="24" name="Chart 2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95250</xdr:colOff>
      <xdr:row>671</xdr:row>
      <xdr:rowOff>85725</xdr:rowOff>
    </xdr:from>
    <xdr:to>
      <xdr:col>3</xdr:col>
      <xdr:colOff>1209675</xdr:colOff>
      <xdr:row>686</xdr:row>
      <xdr:rowOff>114300</xdr:rowOff>
    </xdr:to>
    <xdr:graphicFrame macro="">
      <xdr:nvGraphicFramePr>
        <xdr:cNvPr id="25" name="Chart 2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0</xdr:col>
      <xdr:colOff>95251</xdr:colOff>
      <xdr:row>688</xdr:row>
      <xdr:rowOff>9525</xdr:rowOff>
    </xdr:from>
    <xdr:to>
      <xdr:col>3</xdr:col>
      <xdr:colOff>1085851</xdr:colOff>
      <xdr:row>702</xdr:row>
      <xdr:rowOff>85725</xdr:rowOff>
    </xdr:to>
    <xdr:graphicFrame macro="">
      <xdr:nvGraphicFramePr>
        <xdr:cNvPr id="26" name="Chart 2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0</xdr:col>
      <xdr:colOff>104775</xdr:colOff>
      <xdr:row>704</xdr:row>
      <xdr:rowOff>104775</xdr:rowOff>
    </xdr:from>
    <xdr:to>
      <xdr:col>3</xdr:col>
      <xdr:colOff>1181100</xdr:colOff>
      <xdr:row>719</xdr:row>
      <xdr:rowOff>161925</xdr:rowOff>
    </xdr:to>
    <xdr:graphicFrame macro="">
      <xdr:nvGraphicFramePr>
        <xdr:cNvPr id="27" name="Chart 2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0</xdr:col>
      <xdr:colOff>200025</xdr:colOff>
      <xdr:row>722</xdr:row>
      <xdr:rowOff>0</xdr:rowOff>
    </xdr:from>
    <xdr:to>
      <xdr:col>3</xdr:col>
      <xdr:colOff>1266825</xdr:colOff>
      <xdr:row>736</xdr:row>
      <xdr:rowOff>76200</xdr:rowOff>
    </xdr:to>
    <xdr:graphicFrame macro="">
      <xdr:nvGraphicFramePr>
        <xdr:cNvPr id="28" name="Chart 2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0</xdr:col>
      <xdr:colOff>0</xdr:colOff>
      <xdr:row>737</xdr:row>
      <xdr:rowOff>114299</xdr:rowOff>
    </xdr:from>
    <xdr:to>
      <xdr:col>3</xdr:col>
      <xdr:colOff>1228725</xdr:colOff>
      <xdr:row>751</xdr:row>
      <xdr:rowOff>161924</xdr:rowOff>
    </xdr:to>
    <xdr:graphicFrame macro="">
      <xdr:nvGraphicFramePr>
        <xdr:cNvPr id="29" name="Chart 2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0</xdr:col>
      <xdr:colOff>0</xdr:colOff>
      <xdr:row>753</xdr:row>
      <xdr:rowOff>0</xdr:rowOff>
    </xdr:from>
    <xdr:to>
      <xdr:col>3</xdr:col>
      <xdr:colOff>1181100</xdr:colOff>
      <xdr:row>770</xdr:row>
      <xdr:rowOff>0</xdr:rowOff>
    </xdr:to>
    <xdr:graphicFrame macro="">
      <xdr:nvGraphicFramePr>
        <xdr:cNvPr id="30" name="Chart 2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0</xdr:col>
      <xdr:colOff>114300</xdr:colOff>
      <xdr:row>772</xdr:row>
      <xdr:rowOff>19049</xdr:rowOff>
    </xdr:from>
    <xdr:to>
      <xdr:col>3</xdr:col>
      <xdr:colOff>1200150</xdr:colOff>
      <xdr:row>786</xdr:row>
      <xdr:rowOff>9524</xdr:rowOff>
    </xdr:to>
    <xdr:graphicFrame macro="">
      <xdr:nvGraphicFramePr>
        <xdr:cNvPr id="31" name="Chart 3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0</xdr:col>
      <xdr:colOff>123825</xdr:colOff>
      <xdr:row>787</xdr:row>
      <xdr:rowOff>47624</xdr:rowOff>
    </xdr:from>
    <xdr:to>
      <xdr:col>3</xdr:col>
      <xdr:colOff>1238250</xdr:colOff>
      <xdr:row>801</xdr:row>
      <xdr:rowOff>95249</xdr:rowOff>
    </xdr:to>
    <xdr:graphicFrame macro="">
      <xdr:nvGraphicFramePr>
        <xdr:cNvPr id="32" name="Chart 3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0</xdr:col>
      <xdr:colOff>85725</xdr:colOff>
      <xdr:row>803</xdr:row>
      <xdr:rowOff>9525</xdr:rowOff>
    </xdr:from>
    <xdr:to>
      <xdr:col>3</xdr:col>
      <xdr:colOff>1095375</xdr:colOff>
      <xdr:row>819</xdr:row>
      <xdr:rowOff>142875</xdr:rowOff>
    </xdr:to>
    <xdr:graphicFrame macro="">
      <xdr:nvGraphicFramePr>
        <xdr:cNvPr id="34" name="Chart 3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0</xdr:col>
      <xdr:colOff>104775</xdr:colOff>
      <xdr:row>822</xdr:row>
      <xdr:rowOff>38100</xdr:rowOff>
    </xdr:from>
    <xdr:to>
      <xdr:col>3</xdr:col>
      <xdr:colOff>1114425</xdr:colOff>
      <xdr:row>836</xdr:row>
      <xdr:rowOff>152400</xdr:rowOff>
    </xdr:to>
    <xdr:graphicFrame macro="">
      <xdr:nvGraphicFramePr>
        <xdr:cNvPr id="35" name="Chart 3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0</xdr:col>
      <xdr:colOff>85725</xdr:colOff>
      <xdr:row>838</xdr:row>
      <xdr:rowOff>28575</xdr:rowOff>
    </xdr:from>
    <xdr:to>
      <xdr:col>3</xdr:col>
      <xdr:colOff>1123950</xdr:colOff>
      <xdr:row>850</xdr:row>
      <xdr:rowOff>123825</xdr:rowOff>
    </xdr:to>
    <xdr:graphicFrame macro="">
      <xdr:nvGraphicFramePr>
        <xdr:cNvPr id="36" name="Chart 3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0</xdr:col>
      <xdr:colOff>104775</xdr:colOff>
      <xdr:row>852</xdr:row>
      <xdr:rowOff>152400</xdr:rowOff>
    </xdr:from>
    <xdr:to>
      <xdr:col>3</xdr:col>
      <xdr:colOff>1181100</xdr:colOff>
      <xdr:row>867</xdr:row>
      <xdr:rowOff>38100</xdr:rowOff>
    </xdr:to>
    <xdr:graphicFrame macro="">
      <xdr:nvGraphicFramePr>
        <xdr:cNvPr id="37" name="Chart 3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0</xdr:col>
      <xdr:colOff>85725</xdr:colOff>
      <xdr:row>872</xdr:row>
      <xdr:rowOff>19050</xdr:rowOff>
    </xdr:from>
    <xdr:to>
      <xdr:col>3</xdr:col>
      <xdr:colOff>1181100</xdr:colOff>
      <xdr:row>885</xdr:row>
      <xdr:rowOff>123825</xdr:rowOff>
    </xdr:to>
    <xdr:graphicFrame macro="">
      <xdr:nvGraphicFramePr>
        <xdr:cNvPr id="38" name="Chart 3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0</xdr:col>
      <xdr:colOff>152400</xdr:colOff>
      <xdr:row>887</xdr:row>
      <xdr:rowOff>0</xdr:rowOff>
    </xdr:from>
    <xdr:to>
      <xdr:col>3</xdr:col>
      <xdr:colOff>1219200</xdr:colOff>
      <xdr:row>901</xdr:row>
      <xdr:rowOff>76200</xdr:rowOff>
    </xdr:to>
    <xdr:graphicFrame macro="">
      <xdr:nvGraphicFramePr>
        <xdr:cNvPr id="39" name="Chart 3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0</xdr:col>
      <xdr:colOff>104775</xdr:colOff>
      <xdr:row>903</xdr:row>
      <xdr:rowOff>0</xdr:rowOff>
    </xdr:from>
    <xdr:to>
      <xdr:col>3</xdr:col>
      <xdr:colOff>1209675</xdr:colOff>
      <xdr:row>917</xdr:row>
      <xdr:rowOff>76200</xdr:rowOff>
    </xdr:to>
    <xdr:graphicFrame macro="">
      <xdr:nvGraphicFramePr>
        <xdr:cNvPr id="40" name="Chart 3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0</xdr:colOff>
      <xdr:row>8</xdr:row>
      <xdr:rowOff>0</xdr:rowOff>
    </xdr:from>
    <xdr:to>
      <xdr:col>7</xdr:col>
      <xdr:colOff>76200</xdr:colOff>
      <xdr:row>8</xdr:row>
      <xdr:rowOff>114300</xdr:rowOff>
    </xdr:to>
    <xdr:sp macro="" textlink="">
      <xdr:nvSpPr>
        <xdr:cNvPr id="2" name="Text Box 1"/>
        <xdr:cNvSpPr txBox="1">
          <a:spLocks noChangeArrowheads="1"/>
        </xdr:cNvSpPr>
      </xdr:nvSpPr>
      <xdr:spPr bwMode="auto">
        <a:xfrm>
          <a:off x="7210425" y="2314575"/>
          <a:ext cx="76200" cy="114300"/>
        </a:xfrm>
        <a:prstGeom prst="rect">
          <a:avLst/>
        </a:prstGeom>
        <a:noFill/>
        <a:ln w="9525">
          <a:noFill/>
          <a:miter lim="800000"/>
          <a:headEnd/>
          <a:tailEnd/>
        </a:ln>
      </xdr:spPr>
    </xdr:sp>
    <xdr:clientData/>
  </xdr:twoCellAnchor>
  <xdr:twoCellAnchor editAs="oneCell">
    <xdr:from>
      <xdr:col>7</xdr:col>
      <xdr:colOff>0</xdr:colOff>
      <xdr:row>8</xdr:row>
      <xdr:rowOff>0</xdr:rowOff>
    </xdr:from>
    <xdr:to>
      <xdr:col>7</xdr:col>
      <xdr:colOff>76200</xdr:colOff>
      <xdr:row>8</xdr:row>
      <xdr:rowOff>114300</xdr:rowOff>
    </xdr:to>
    <xdr:sp macro="" textlink="">
      <xdr:nvSpPr>
        <xdr:cNvPr id="3" name="Text Box 1"/>
        <xdr:cNvSpPr txBox="1">
          <a:spLocks noChangeArrowheads="1"/>
        </xdr:cNvSpPr>
      </xdr:nvSpPr>
      <xdr:spPr bwMode="auto">
        <a:xfrm>
          <a:off x="7210425" y="2314575"/>
          <a:ext cx="76200" cy="114300"/>
        </a:xfrm>
        <a:prstGeom prst="rect">
          <a:avLst/>
        </a:prstGeom>
        <a:noFill/>
        <a:ln w="9525">
          <a:noFill/>
          <a:miter lim="800000"/>
          <a:headEnd/>
          <a:tailEnd/>
        </a:ln>
      </xdr:spPr>
    </xdr:sp>
    <xdr:clientData/>
  </xdr:twoCellAnchor>
  <xdr:twoCellAnchor editAs="oneCell">
    <xdr:from>
      <xdr:col>7</xdr:col>
      <xdr:colOff>0</xdr:colOff>
      <xdr:row>8</xdr:row>
      <xdr:rowOff>0</xdr:rowOff>
    </xdr:from>
    <xdr:to>
      <xdr:col>7</xdr:col>
      <xdr:colOff>76200</xdr:colOff>
      <xdr:row>8</xdr:row>
      <xdr:rowOff>114300</xdr:rowOff>
    </xdr:to>
    <xdr:sp macro="" textlink="">
      <xdr:nvSpPr>
        <xdr:cNvPr id="4" name="Text Box 1"/>
        <xdr:cNvSpPr txBox="1">
          <a:spLocks noChangeArrowheads="1"/>
        </xdr:cNvSpPr>
      </xdr:nvSpPr>
      <xdr:spPr bwMode="auto">
        <a:xfrm>
          <a:off x="7210425" y="2314575"/>
          <a:ext cx="76200" cy="114300"/>
        </a:xfrm>
        <a:prstGeom prst="rect">
          <a:avLst/>
        </a:prstGeom>
        <a:noFill/>
        <a:ln w="9525">
          <a:noFill/>
          <a:miter lim="800000"/>
          <a:headEnd/>
          <a:tailEnd/>
        </a:ln>
      </xdr:spPr>
    </xdr:sp>
    <xdr:clientData/>
  </xdr:twoCellAnchor>
  <xdr:twoCellAnchor editAs="oneCell">
    <xdr:from>
      <xdr:col>7</xdr:col>
      <xdr:colOff>0</xdr:colOff>
      <xdr:row>8</xdr:row>
      <xdr:rowOff>0</xdr:rowOff>
    </xdr:from>
    <xdr:to>
      <xdr:col>7</xdr:col>
      <xdr:colOff>76200</xdr:colOff>
      <xdr:row>8</xdr:row>
      <xdr:rowOff>190500</xdr:rowOff>
    </xdr:to>
    <xdr:sp macro="" textlink="">
      <xdr:nvSpPr>
        <xdr:cNvPr id="5" name="Text Box 1"/>
        <xdr:cNvSpPr txBox="1">
          <a:spLocks noChangeArrowheads="1"/>
        </xdr:cNvSpPr>
      </xdr:nvSpPr>
      <xdr:spPr bwMode="auto">
        <a:xfrm>
          <a:off x="7210425" y="2314575"/>
          <a:ext cx="76200" cy="190500"/>
        </a:xfrm>
        <a:prstGeom prst="rect">
          <a:avLst/>
        </a:prstGeom>
        <a:noFill/>
        <a:ln w="9525">
          <a:noFill/>
          <a:miter lim="800000"/>
          <a:headEnd/>
          <a:tailEnd/>
        </a:ln>
      </xdr:spPr>
    </xdr:sp>
    <xdr:clientData/>
  </xdr:twoCellAnchor>
  <xdr:twoCellAnchor editAs="oneCell">
    <xdr:from>
      <xdr:col>7</xdr:col>
      <xdr:colOff>0</xdr:colOff>
      <xdr:row>8</xdr:row>
      <xdr:rowOff>0</xdr:rowOff>
    </xdr:from>
    <xdr:to>
      <xdr:col>7</xdr:col>
      <xdr:colOff>76200</xdr:colOff>
      <xdr:row>8</xdr:row>
      <xdr:rowOff>190500</xdr:rowOff>
    </xdr:to>
    <xdr:sp macro="" textlink="">
      <xdr:nvSpPr>
        <xdr:cNvPr id="6" name="Text Box 1"/>
        <xdr:cNvSpPr txBox="1">
          <a:spLocks noChangeArrowheads="1"/>
        </xdr:cNvSpPr>
      </xdr:nvSpPr>
      <xdr:spPr bwMode="auto">
        <a:xfrm>
          <a:off x="7210425" y="2314575"/>
          <a:ext cx="76200" cy="190500"/>
        </a:xfrm>
        <a:prstGeom prst="rect">
          <a:avLst/>
        </a:prstGeom>
        <a:noFill/>
        <a:ln w="9525">
          <a:noFill/>
          <a:miter lim="800000"/>
          <a:headEnd/>
          <a:tailEnd/>
        </a:ln>
      </xdr:spPr>
    </xdr:sp>
    <xdr:clientData/>
  </xdr:twoCellAnchor>
  <xdr:twoCellAnchor editAs="oneCell">
    <xdr:from>
      <xdr:col>7</xdr:col>
      <xdr:colOff>0</xdr:colOff>
      <xdr:row>8</xdr:row>
      <xdr:rowOff>0</xdr:rowOff>
    </xdr:from>
    <xdr:to>
      <xdr:col>7</xdr:col>
      <xdr:colOff>76200</xdr:colOff>
      <xdr:row>8</xdr:row>
      <xdr:rowOff>190500</xdr:rowOff>
    </xdr:to>
    <xdr:sp macro="" textlink="">
      <xdr:nvSpPr>
        <xdr:cNvPr id="7" name="Text Box 1"/>
        <xdr:cNvSpPr txBox="1">
          <a:spLocks noChangeArrowheads="1"/>
        </xdr:cNvSpPr>
      </xdr:nvSpPr>
      <xdr:spPr bwMode="auto">
        <a:xfrm>
          <a:off x="7210425" y="2314575"/>
          <a:ext cx="76200" cy="190500"/>
        </a:xfrm>
        <a:prstGeom prst="rect">
          <a:avLst/>
        </a:prstGeom>
        <a:noFill/>
        <a:ln w="9525">
          <a:noFill/>
          <a:miter lim="800000"/>
          <a:headEnd/>
          <a:tailEnd/>
        </a:ln>
      </xdr:spPr>
    </xdr:sp>
    <xdr:clientData/>
  </xdr:twoCellAnchor>
  <xdr:twoCellAnchor editAs="oneCell">
    <xdr:from>
      <xdr:col>7</xdr:col>
      <xdr:colOff>0</xdr:colOff>
      <xdr:row>8</xdr:row>
      <xdr:rowOff>0</xdr:rowOff>
    </xdr:from>
    <xdr:to>
      <xdr:col>7</xdr:col>
      <xdr:colOff>76200</xdr:colOff>
      <xdr:row>8</xdr:row>
      <xdr:rowOff>190500</xdr:rowOff>
    </xdr:to>
    <xdr:sp macro="" textlink="">
      <xdr:nvSpPr>
        <xdr:cNvPr id="8" name="Text Box 1"/>
        <xdr:cNvSpPr txBox="1">
          <a:spLocks noChangeArrowheads="1"/>
        </xdr:cNvSpPr>
      </xdr:nvSpPr>
      <xdr:spPr bwMode="auto">
        <a:xfrm>
          <a:off x="7210425" y="2314575"/>
          <a:ext cx="76200" cy="190500"/>
        </a:xfrm>
        <a:prstGeom prst="rect">
          <a:avLst/>
        </a:prstGeom>
        <a:noFill/>
        <a:ln w="9525">
          <a:noFill/>
          <a:miter lim="800000"/>
          <a:headEnd/>
          <a:tailEnd/>
        </a:ln>
      </xdr:spPr>
    </xdr:sp>
    <xdr:clientData/>
  </xdr:twoCellAnchor>
  <xdr:twoCellAnchor editAs="oneCell">
    <xdr:from>
      <xdr:col>7</xdr:col>
      <xdr:colOff>0</xdr:colOff>
      <xdr:row>8</xdr:row>
      <xdr:rowOff>0</xdr:rowOff>
    </xdr:from>
    <xdr:to>
      <xdr:col>7</xdr:col>
      <xdr:colOff>76200</xdr:colOff>
      <xdr:row>8</xdr:row>
      <xdr:rowOff>190500</xdr:rowOff>
    </xdr:to>
    <xdr:sp macro="" textlink="">
      <xdr:nvSpPr>
        <xdr:cNvPr id="9" name="Text Box 1"/>
        <xdr:cNvSpPr txBox="1">
          <a:spLocks noChangeArrowheads="1"/>
        </xdr:cNvSpPr>
      </xdr:nvSpPr>
      <xdr:spPr bwMode="auto">
        <a:xfrm>
          <a:off x="7210425" y="2314575"/>
          <a:ext cx="76200" cy="190500"/>
        </a:xfrm>
        <a:prstGeom prst="rect">
          <a:avLst/>
        </a:prstGeom>
        <a:noFill/>
        <a:ln w="9525">
          <a:noFill/>
          <a:miter lim="800000"/>
          <a:headEnd/>
          <a:tailEnd/>
        </a:ln>
      </xdr:spPr>
    </xdr:sp>
    <xdr:clientData/>
  </xdr:twoCellAnchor>
  <xdr:twoCellAnchor editAs="oneCell">
    <xdr:from>
      <xdr:col>7</xdr:col>
      <xdr:colOff>0</xdr:colOff>
      <xdr:row>8</xdr:row>
      <xdr:rowOff>0</xdr:rowOff>
    </xdr:from>
    <xdr:to>
      <xdr:col>7</xdr:col>
      <xdr:colOff>76200</xdr:colOff>
      <xdr:row>8</xdr:row>
      <xdr:rowOff>190500</xdr:rowOff>
    </xdr:to>
    <xdr:sp macro="" textlink="">
      <xdr:nvSpPr>
        <xdr:cNvPr id="10" name="Text Box 1"/>
        <xdr:cNvSpPr txBox="1">
          <a:spLocks noChangeArrowheads="1"/>
        </xdr:cNvSpPr>
      </xdr:nvSpPr>
      <xdr:spPr bwMode="auto">
        <a:xfrm>
          <a:off x="7210425" y="2314575"/>
          <a:ext cx="76200" cy="190500"/>
        </a:xfrm>
        <a:prstGeom prst="rect">
          <a:avLst/>
        </a:prstGeom>
        <a:noFill/>
        <a:ln w="9525">
          <a:noFill/>
          <a:miter lim="800000"/>
          <a:headEnd/>
          <a:tailEnd/>
        </a:ln>
      </xdr:spPr>
    </xdr:sp>
    <xdr:clientData/>
  </xdr:twoCellAnchor>
  <xdr:twoCellAnchor editAs="oneCell">
    <xdr:from>
      <xdr:col>7</xdr:col>
      <xdr:colOff>0</xdr:colOff>
      <xdr:row>8</xdr:row>
      <xdr:rowOff>0</xdr:rowOff>
    </xdr:from>
    <xdr:to>
      <xdr:col>7</xdr:col>
      <xdr:colOff>76200</xdr:colOff>
      <xdr:row>8</xdr:row>
      <xdr:rowOff>190500</xdr:rowOff>
    </xdr:to>
    <xdr:sp macro="" textlink="">
      <xdr:nvSpPr>
        <xdr:cNvPr id="11" name="Text Box 1"/>
        <xdr:cNvSpPr txBox="1">
          <a:spLocks noChangeArrowheads="1"/>
        </xdr:cNvSpPr>
      </xdr:nvSpPr>
      <xdr:spPr bwMode="auto">
        <a:xfrm>
          <a:off x="7210425" y="2314575"/>
          <a:ext cx="76200" cy="190500"/>
        </a:xfrm>
        <a:prstGeom prst="rect">
          <a:avLst/>
        </a:prstGeom>
        <a:noFill/>
        <a:ln w="9525">
          <a:noFill/>
          <a:miter lim="800000"/>
          <a:headEnd/>
          <a:tailEnd/>
        </a:ln>
      </xdr:spPr>
    </xdr:sp>
    <xdr:clientData/>
  </xdr:twoCellAnchor>
  <xdr:twoCellAnchor editAs="oneCell">
    <xdr:from>
      <xdr:col>7</xdr:col>
      <xdr:colOff>0</xdr:colOff>
      <xdr:row>8</xdr:row>
      <xdr:rowOff>0</xdr:rowOff>
    </xdr:from>
    <xdr:to>
      <xdr:col>7</xdr:col>
      <xdr:colOff>76200</xdr:colOff>
      <xdr:row>8</xdr:row>
      <xdr:rowOff>190500</xdr:rowOff>
    </xdr:to>
    <xdr:sp macro="" textlink="">
      <xdr:nvSpPr>
        <xdr:cNvPr id="12" name="Text Box 1"/>
        <xdr:cNvSpPr txBox="1">
          <a:spLocks noChangeArrowheads="1"/>
        </xdr:cNvSpPr>
      </xdr:nvSpPr>
      <xdr:spPr bwMode="auto">
        <a:xfrm>
          <a:off x="7210425" y="2314575"/>
          <a:ext cx="76200" cy="190500"/>
        </a:xfrm>
        <a:prstGeom prst="rect">
          <a:avLst/>
        </a:prstGeom>
        <a:noFill/>
        <a:ln w="9525">
          <a:noFill/>
          <a:miter lim="800000"/>
          <a:headEnd/>
          <a:tailEnd/>
        </a:ln>
      </xdr:spPr>
    </xdr:sp>
    <xdr:clientData/>
  </xdr:twoCellAnchor>
  <xdr:twoCellAnchor editAs="oneCell">
    <xdr:from>
      <xdr:col>7</xdr:col>
      <xdr:colOff>0</xdr:colOff>
      <xdr:row>8</xdr:row>
      <xdr:rowOff>0</xdr:rowOff>
    </xdr:from>
    <xdr:to>
      <xdr:col>7</xdr:col>
      <xdr:colOff>76200</xdr:colOff>
      <xdr:row>8</xdr:row>
      <xdr:rowOff>190500</xdr:rowOff>
    </xdr:to>
    <xdr:sp macro="" textlink="">
      <xdr:nvSpPr>
        <xdr:cNvPr id="13" name="Text Box 1"/>
        <xdr:cNvSpPr txBox="1">
          <a:spLocks noChangeArrowheads="1"/>
        </xdr:cNvSpPr>
      </xdr:nvSpPr>
      <xdr:spPr bwMode="auto">
        <a:xfrm>
          <a:off x="7210425" y="2314575"/>
          <a:ext cx="76200" cy="190500"/>
        </a:xfrm>
        <a:prstGeom prst="rect">
          <a:avLst/>
        </a:prstGeom>
        <a:noFill/>
        <a:ln w="9525">
          <a:noFill/>
          <a:miter lim="800000"/>
          <a:headEnd/>
          <a:tailEnd/>
        </a:ln>
      </xdr:spPr>
    </xdr:sp>
    <xdr:clientData/>
  </xdr:twoCellAnchor>
  <xdr:twoCellAnchor editAs="oneCell">
    <xdr:from>
      <xdr:col>7</xdr:col>
      <xdr:colOff>0</xdr:colOff>
      <xdr:row>8</xdr:row>
      <xdr:rowOff>0</xdr:rowOff>
    </xdr:from>
    <xdr:to>
      <xdr:col>7</xdr:col>
      <xdr:colOff>76200</xdr:colOff>
      <xdr:row>8</xdr:row>
      <xdr:rowOff>190500</xdr:rowOff>
    </xdr:to>
    <xdr:sp macro="" textlink="">
      <xdr:nvSpPr>
        <xdr:cNvPr id="14" name="Text Box 1"/>
        <xdr:cNvSpPr txBox="1">
          <a:spLocks noChangeArrowheads="1"/>
        </xdr:cNvSpPr>
      </xdr:nvSpPr>
      <xdr:spPr bwMode="auto">
        <a:xfrm>
          <a:off x="7210425" y="2314575"/>
          <a:ext cx="76200" cy="190500"/>
        </a:xfrm>
        <a:prstGeom prst="rect">
          <a:avLst/>
        </a:prstGeom>
        <a:noFill/>
        <a:ln w="9525">
          <a:noFill/>
          <a:miter lim="800000"/>
          <a:headEnd/>
          <a:tailEnd/>
        </a:ln>
      </xdr:spPr>
    </xdr:sp>
    <xdr:clientData/>
  </xdr:twoCellAnchor>
  <xdr:twoCellAnchor editAs="oneCell">
    <xdr:from>
      <xdr:col>7</xdr:col>
      <xdr:colOff>0</xdr:colOff>
      <xdr:row>8</xdr:row>
      <xdr:rowOff>0</xdr:rowOff>
    </xdr:from>
    <xdr:to>
      <xdr:col>7</xdr:col>
      <xdr:colOff>76200</xdr:colOff>
      <xdr:row>8</xdr:row>
      <xdr:rowOff>190500</xdr:rowOff>
    </xdr:to>
    <xdr:sp macro="" textlink="">
      <xdr:nvSpPr>
        <xdr:cNvPr id="15" name="Text Box 1"/>
        <xdr:cNvSpPr txBox="1">
          <a:spLocks noChangeArrowheads="1"/>
        </xdr:cNvSpPr>
      </xdr:nvSpPr>
      <xdr:spPr bwMode="auto">
        <a:xfrm>
          <a:off x="7210425" y="2314575"/>
          <a:ext cx="76200" cy="190500"/>
        </a:xfrm>
        <a:prstGeom prst="rect">
          <a:avLst/>
        </a:prstGeom>
        <a:noFill/>
        <a:ln w="9525">
          <a:noFill/>
          <a:miter lim="800000"/>
          <a:headEnd/>
          <a:tailEnd/>
        </a:ln>
      </xdr:spPr>
    </xdr:sp>
    <xdr:clientData/>
  </xdr:twoCellAnchor>
  <xdr:twoCellAnchor editAs="oneCell">
    <xdr:from>
      <xdr:col>7</xdr:col>
      <xdr:colOff>0</xdr:colOff>
      <xdr:row>8</xdr:row>
      <xdr:rowOff>0</xdr:rowOff>
    </xdr:from>
    <xdr:to>
      <xdr:col>7</xdr:col>
      <xdr:colOff>76200</xdr:colOff>
      <xdr:row>8</xdr:row>
      <xdr:rowOff>190500</xdr:rowOff>
    </xdr:to>
    <xdr:sp macro="" textlink="">
      <xdr:nvSpPr>
        <xdr:cNvPr id="16" name="Text Box 1"/>
        <xdr:cNvSpPr txBox="1">
          <a:spLocks noChangeArrowheads="1"/>
        </xdr:cNvSpPr>
      </xdr:nvSpPr>
      <xdr:spPr bwMode="auto">
        <a:xfrm>
          <a:off x="7210425" y="2314575"/>
          <a:ext cx="76200" cy="190500"/>
        </a:xfrm>
        <a:prstGeom prst="rect">
          <a:avLst/>
        </a:prstGeom>
        <a:noFill/>
        <a:ln w="9525">
          <a:noFill/>
          <a:miter lim="800000"/>
          <a:headEnd/>
          <a:tailEnd/>
        </a:ln>
      </xdr:spPr>
    </xdr:sp>
    <xdr:clientData/>
  </xdr:twoCellAnchor>
  <xdr:twoCellAnchor editAs="oneCell">
    <xdr:from>
      <xdr:col>7</xdr:col>
      <xdr:colOff>0</xdr:colOff>
      <xdr:row>8</xdr:row>
      <xdr:rowOff>0</xdr:rowOff>
    </xdr:from>
    <xdr:to>
      <xdr:col>7</xdr:col>
      <xdr:colOff>76200</xdr:colOff>
      <xdr:row>8</xdr:row>
      <xdr:rowOff>190500</xdr:rowOff>
    </xdr:to>
    <xdr:sp macro="" textlink="">
      <xdr:nvSpPr>
        <xdr:cNvPr id="17" name="Text Box 1"/>
        <xdr:cNvSpPr txBox="1">
          <a:spLocks noChangeArrowheads="1"/>
        </xdr:cNvSpPr>
      </xdr:nvSpPr>
      <xdr:spPr bwMode="auto">
        <a:xfrm>
          <a:off x="7210425" y="2314575"/>
          <a:ext cx="76200" cy="190500"/>
        </a:xfrm>
        <a:prstGeom prst="rect">
          <a:avLst/>
        </a:prstGeom>
        <a:noFill/>
        <a:ln w="9525">
          <a:noFill/>
          <a:miter lim="800000"/>
          <a:headEnd/>
          <a:tailEnd/>
        </a:ln>
      </xdr:spPr>
    </xdr:sp>
    <xdr:clientData/>
  </xdr:twoCellAnchor>
  <xdr:twoCellAnchor editAs="oneCell">
    <xdr:from>
      <xdr:col>7</xdr:col>
      <xdr:colOff>0</xdr:colOff>
      <xdr:row>8</xdr:row>
      <xdr:rowOff>0</xdr:rowOff>
    </xdr:from>
    <xdr:to>
      <xdr:col>7</xdr:col>
      <xdr:colOff>76200</xdr:colOff>
      <xdr:row>8</xdr:row>
      <xdr:rowOff>190500</xdr:rowOff>
    </xdr:to>
    <xdr:sp macro="" textlink="">
      <xdr:nvSpPr>
        <xdr:cNvPr id="18" name="Text Box 1"/>
        <xdr:cNvSpPr txBox="1">
          <a:spLocks noChangeArrowheads="1"/>
        </xdr:cNvSpPr>
      </xdr:nvSpPr>
      <xdr:spPr bwMode="auto">
        <a:xfrm>
          <a:off x="7210425" y="2314575"/>
          <a:ext cx="76200" cy="190500"/>
        </a:xfrm>
        <a:prstGeom prst="rect">
          <a:avLst/>
        </a:prstGeom>
        <a:noFill/>
        <a:ln w="9525">
          <a:noFill/>
          <a:miter lim="800000"/>
          <a:headEnd/>
          <a:tailEnd/>
        </a:ln>
      </xdr:spPr>
    </xdr:sp>
    <xdr:clientData/>
  </xdr:twoCellAnchor>
  <xdr:twoCellAnchor editAs="oneCell">
    <xdr:from>
      <xdr:col>7</xdr:col>
      <xdr:colOff>0</xdr:colOff>
      <xdr:row>8</xdr:row>
      <xdr:rowOff>0</xdr:rowOff>
    </xdr:from>
    <xdr:to>
      <xdr:col>7</xdr:col>
      <xdr:colOff>76200</xdr:colOff>
      <xdr:row>8</xdr:row>
      <xdr:rowOff>190500</xdr:rowOff>
    </xdr:to>
    <xdr:sp macro="" textlink="">
      <xdr:nvSpPr>
        <xdr:cNvPr id="19" name="Text Box 1"/>
        <xdr:cNvSpPr txBox="1">
          <a:spLocks noChangeArrowheads="1"/>
        </xdr:cNvSpPr>
      </xdr:nvSpPr>
      <xdr:spPr bwMode="auto">
        <a:xfrm>
          <a:off x="7210425" y="2314575"/>
          <a:ext cx="76200" cy="190500"/>
        </a:xfrm>
        <a:prstGeom prst="rect">
          <a:avLst/>
        </a:prstGeom>
        <a:noFill/>
        <a:ln w="9525">
          <a:noFill/>
          <a:miter lim="800000"/>
          <a:headEnd/>
          <a:tailEnd/>
        </a:ln>
      </xdr:spPr>
    </xdr:sp>
    <xdr:clientData/>
  </xdr:twoCellAnchor>
  <xdr:twoCellAnchor editAs="oneCell">
    <xdr:from>
      <xdr:col>7</xdr:col>
      <xdr:colOff>0</xdr:colOff>
      <xdr:row>8</xdr:row>
      <xdr:rowOff>0</xdr:rowOff>
    </xdr:from>
    <xdr:to>
      <xdr:col>7</xdr:col>
      <xdr:colOff>76200</xdr:colOff>
      <xdr:row>8</xdr:row>
      <xdr:rowOff>190500</xdr:rowOff>
    </xdr:to>
    <xdr:sp macro="" textlink="">
      <xdr:nvSpPr>
        <xdr:cNvPr id="20" name="Text Box 1"/>
        <xdr:cNvSpPr txBox="1">
          <a:spLocks noChangeArrowheads="1"/>
        </xdr:cNvSpPr>
      </xdr:nvSpPr>
      <xdr:spPr bwMode="auto">
        <a:xfrm>
          <a:off x="7210425" y="2314575"/>
          <a:ext cx="76200" cy="190500"/>
        </a:xfrm>
        <a:prstGeom prst="rect">
          <a:avLst/>
        </a:prstGeom>
        <a:noFill/>
        <a:ln w="9525">
          <a:noFill/>
          <a:miter lim="800000"/>
          <a:headEnd/>
          <a:tailEnd/>
        </a:ln>
      </xdr:spPr>
    </xdr:sp>
    <xdr:clientData/>
  </xdr:twoCellAnchor>
  <xdr:twoCellAnchor editAs="oneCell">
    <xdr:from>
      <xdr:col>7</xdr:col>
      <xdr:colOff>0</xdr:colOff>
      <xdr:row>8</xdr:row>
      <xdr:rowOff>0</xdr:rowOff>
    </xdr:from>
    <xdr:to>
      <xdr:col>7</xdr:col>
      <xdr:colOff>76200</xdr:colOff>
      <xdr:row>8</xdr:row>
      <xdr:rowOff>190500</xdr:rowOff>
    </xdr:to>
    <xdr:sp macro="" textlink="">
      <xdr:nvSpPr>
        <xdr:cNvPr id="21" name="Text Box 1"/>
        <xdr:cNvSpPr txBox="1">
          <a:spLocks noChangeArrowheads="1"/>
        </xdr:cNvSpPr>
      </xdr:nvSpPr>
      <xdr:spPr bwMode="auto">
        <a:xfrm>
          <a:off x="7210425" y="2314575"/>
          <a:ext cx="76200" cy="190500"/>
        </a:xfrm>
        <a:prstGeom prst="rect">
          <a:avLst/>
        </a:prstGeom>
        <a:noFill/>
        <a:ln w="9525">
          <a:noFill/>
          <a:miter lim="800000"/>
          <a:headEnd/>
          <a:tailEnd/>
        </a:ln>
      </xdr:spPr>
    </xdr:sp>
    <xdr:clientData/>
  </xdr:twoCellAnchor>
  <xdr:twoCellAnchor editAs="oneCell">
    <xdr:from>
      <xdr:col>7</xdr:col>
      <xdr:colOff>0</xdr:colOff>
      <xdr:row>8</xdr:row>
      <xdr:rowOff>0</xdr:rowOff>
    </xdr:from>
    <xdr:to>
      <xdr:col>7</xdr:col>
      <xdr:colOff>76200</xdr:colOff>
      <xdr:row>8</xdr:row>
      <xdr:rowOff>190500</xdr:rowOff>
    </xdr:to>
    <xdr:sp macro="" textlink="">
      <xdr:nvSpPr>
        <xdr:cNvPr id="22" name="Text Box 1"/>
        <xdr:cNvSpPr txBox="1">
          <a:spLocks noChangeArrowheads="1"/>
        </xdr:cNvSpPr>
      </xdr:nvSpPr>
      <xdr:spPr bwMode="auto">
        <a:xfrm>
          <a:off x="7210425" y="2314575"/>
          <a:ext cx="76200" cy="190500"/>
        </a:xfrm>
        <a:prstGeom prst="rect">
          <a:avLst/>
        </a:prstGeom>
        <a:noFill/>
        <a:ln w="9525">
          <a:noFill/>
          <a:miter lim="800000"/>
          <a:headEnd/>
          <a:tailEnd/>
        </a:ln>
      </xdr:spPr>
    </xdr:sp>
    <xdr:clientData/>
  </xdr:twoCellAnchor>
  <xdr:twoCellAnchor editAs="oneCell">
    <xdr:from>
      <xdr:col>7</xdr:col>
      <xdr:colOff>0</xdr:colOff>
      <xdr:row>8</xdr:row>
      <xdr:rowOff>0</xdr:rowOff>
    </xdr:from>
    <xdr:to>
      <xdr:col>7</xdr:col>
      <xdr:colOff>76200</xdr:colOff>
      <xdr:row>8</xdr:row>
      <xdr:rowOff>190500</xdr:rowOff>
    </xdr:to>
    <xdr:sp macro="" textlink="">
      <xdr:nvSpPr>
        <xdr:cNvPr id="23" name="Text Box 1"/>
        <xdr:cNvSpPr txBox="1">
          <a:spLocks noChangeArrowheads="1"/>
        </xdr:cNvSpPr>
      </xdr:nvSpPr>
      <xdr:spPr bwMode="auto">
        <a:xfrm>
          <a:off x="7210425" y="2314575"/>
          <a:ext cx="76200" cy="190500"/>
        </a:xfrm>
        <a:prstGeom prst="rect">
          <a:avLst/>
        </a:prstGeom>
        <a:noFill/>
        <a:ln w="9525">
          <a:noFill/>
          <a:miter lim="800000"/>
          <a:headEnd/>
          <a:tailEnd/>
        </a:ln>
      </xdr:spPr>
    </xdr:sp>
    <xdr:clientData/>
  </xdr:twoCellAnchor>
  <xdr:twoCellAnchor editAs="oneCell">
    <xdr:from>
      <xdr:col>7</xdr:col>
      <xdr:colOff>0</xdr:colOff>
      <xdr:row>8</xdr:row>
      <xdr:rowOff>0</xdr:rowOff>
    </xdr:from>
    <xdr:to>
      <xdr:col>7</xdr:col>
      <xdr:colOff>76200</xdr:colOff>
      <xdr:row>8</xdr:row>
      <xdr:rowOff>190500</xdr:rowOff>
    </xdr:to>
    <xdr:sp macro="" textlink="">
      <xdr:nvSpPr>
        <xdr:cNvPr id="24" name="Text Box 1"/>
        <xdr:cNvSpPr txBox="1">
          <a:spLocks noChangeArrowheads="1"/>
        </xdr:cNvSpPr>
      </xdr:nvSpPr>
      <xdr:spPr bwMode="auto">
        <a:xfrm>
          <a:off x="7210425" y="2314575"/>
          <a:ext cx="76200" cy="190500"/>
        </a:xfrm>
        <a:prstGeom prst="rect">
          <a:avLst/>
        </a:prstGeom>
        <a:noFill/>
        <a:ln w="9525">
          <a:noFill/>
          <a:miter lim="800000"/>
          <a:headEnd/>
          <a:tailEnd/>
        </a:ln>
      </xdr:spPr>
    </xdr:sp>
    <xdr:clientData/>
  </xdr:twoCellAnchor>
  <xdr:twoCellAnchor editAs="oneCell">
    <xdr:from>
      <xdr:col>7</xdr:col>
      <xdr:colOff>0</xdr:colOff>
      <xdr:row>8</xdr:row>
      <xdr:rowOff>0</xdr:rowOff>
    </xdr:from>
    <xdr:to>
      <xdr:col>7</xdr:col>
      <xdr:colOff>76200</xdr:colOff>
      <xdr:row>8</xdr:row>
      <xdr:rowOff>190500</xdr:rowOff>
    </xdr:to>
    <xdr:sp macro="" textlink="">
      <xdr:nvSpPr>
        <xdr:cNvPr id="25" name="Text Box 1"/>
        <xdr:cNvSpPr txBox="1">
          <a:spLocks noChangeArrowheads="1"/>
        </xdr:cNvSpPr>
      </xdr:nvSpPr>
      <xdr:spPr bwMode="auto">
        <a:xfrm>
          <a:off x="7210425" y="2314575"/>
          <a:ext cx="76200" cy="190500"/>
        </a:xfrm>
        <a:prstGeom prst="rect">
          <a:avLst/>
        </a:prstGeom>
        <a:noFill/>
        <a:ln w="9525">
          <a:noFill/>
          <a:miter lim="800000"/>
          <a:headEnd/>
          <a:tailEnd/>
        </a:ln>
      </xdr:spPr>
    </xdr:sp>
    <xdr:clientData/>
  </xdr:twoCellAnchor>
  <xdr:twoCellAnchor editAs="oneCell">
    <xdr:from>
      <xdr:col>7</xdr:col>
      <xdr:colOff>0</xdr:colOff>
      <xdr:row>8</xdr:row>
      <xdr:rowOff>0</xdr:rowOff>
    </xdr:from>
    <xdr:to>
      <xdr:col>7</xdr:col>
      <xdr:colOff>76200</xdr:colOff>
      <xdr:row>8</xdr:row>
      <xdr:rowOff>190500</xdr:rowOff>
    </xdr:to>
    <xdr:sp macro="" textlink="">
      <xdr:nvSpPr>
        <xdr:cNvPr id="26" name="Text Box 1"/>
        <xdr:cNvSpPr txBox="1">
          <a:spLocks noChangeArrowheads="1"/>
        </xdr:cNvSpPr>
      </xdr:nvSpPr>
      <xdr:spPr bwMode="auto">
        <a:xfrm>
          <a:off x="7210425" y="2314575"/>
          <a:ext cx="76200" cy="190500"/>
        </a:xfrm>
        <a:prstGeom prst="rect">
          <a:avLst/>
        </a:prstGeom>
        <a:noFill/>
        <a:ln w="9525">
          <a:noFill/>
          <a:miter lim="800000"/>
          <a:headEnd/>
          <a:tailEnd/>
        </a:ln>
      </xdr:spPr>
    </xdr:sp>
    <xdr:clientData/>
  </xdr:twoCellAnchor>
  <xdr:twoCellAnchor editAs="oneCell">
    <xdr:from>
      <xdr:col>7</xdr:col>
      <xdr:colOff>0</xdr:colOff>
      <xdr:row>8</xdr:row>
      <xdr:rowOff>0</xdr:rowOff>
    </xdr:from>
    <xdr:to>
      <xdr:col>7</xdr:col>
      <xdr:colOff>76200</xdr:colOff>
      <xdr:row>8</xdr:row>
      <xdr:rowOff>190500</xdr:rowOff>
    </xdr:to>
    <xdr:sp macro="" textlink="">
      <xdr:nvSpPr>
        <xdr:cNvPr id="27" name="Text Box 1"/>
        <xdr:cNvSpPr txBox="1">
          <a:spLocks noChangeArrowheads="1"/>
        </xdr:cNvSpPr>
      </xdr:nvSpPr>
      <xdr:spPr bwMode="auto">
        <a:xfrm>
          <a:off x="7210425" y="2314575"/>
          <a:ext cx="76200" cy="190500"/>
        </a:xfrm>
        <a:prstGeom prst="rect">
          <a:avLst/>
        </a:prstGeom>
        <a:noFill/>
        <a:ln w="9525">
          <a:noFill/>
          <a:miter lim="800000"/>
          <a:headEnd/>
          <a:tailEnd/>
        </a:ln>
      </xdr:spPr>
    </xdr:sp>
    <xdr:clientData/>
  </xdr:twoCellAnchor>
  <xdr:twoCellAnchor editAs="oneCell">
    <xdr:from>
      <xdr:col>7</xdr:col>
      <xdr:colOff>0</xdr:colOff>
      <xdr:row>8</xdr:row>
      <xdr:rowOff>0</xdr:rowOff>
    </xdr:from>
    <xdr:to>
      <xdr:col>7</xdr:col>
      <xdr:colOff>76200</xdr:colOff>
      <xdr:row>8</xdr:row>
      <xdr:rowOff>190500</xdr:rowOff>
    </xdr:to>
    <xdr:sp macro="" textlink="">
      <xdr:nvSpPr>
        <xdr:cNvPr id="28" name="Text Box 1"/>
        <xdr:cNvSpPr txBox="1">
          <a:spLocks noChangeArrowheads="1"/>
        </xdr:cNvSpPr>
      </xdr:nvSpPr>
      <xdr:spPr bwMode="auto">
        <a:xfrm>
          <a:off x="7210425" y="2314575"/>
          <a:ext cx="76200" cy="190500"/>
        </a:xfrm>
        <a:prstGeom prst="rect">
          <a:avLst/>
        </a:prstGeom>
        <a:noFill/>
        <a:ln w="9525">
          <a:noFill/>
          <a:miter lim="800000"/>
          <a:headEnd/>
          <a:tailEnd/>
        </a:ln>
      </xdr:spPr>
    </xdr:sp>
    <xdr:clientData/>
  </xdr:twoCellAnchor>
  <xdr:twoCellAnchor editAs="oneCell">
    <xdr:from>
      <xdr:col>7</xdr:col>
      <xdr:colOff>0</xdr:colOff>
      <xdr:row>8</xdr:row>
      <xdr:rowOff>0</xdr:rowOff>
    </xdr:from>
    <xdr:to>
      <xdr:col>7</xdr:col>
      <xdr:colOff>76200</xdr:colOff>
      <xdr:row>8</xdr:row>
      <xdr:rowOff>190500</xdr:rowOff>
    </xdr:to>
    <xdr:sp macro="" textlink="">
      <xdr:nvSpPr>
        <xdr:cNvPr id="29" name="Text Box 1"/>
        <xdr:cNvSpPr txBox="1">
          <a:spLocks noChangeArrowheads="1"/>
        </xdr:cNvSpPr>
      </xdr:nvSpPr>
      <xdr:spPr bwMode="auto">
        <a:xfrm>
          <a:off x="7210425" y="2314575"/>
          <a:ext cx="76200" cy="190500"/>
        </a:xfrm>
        <a:prstGeom prst="rect">
          <a:avLst/>
        </a:prstGeom>
        <a:noFill/>
        <a:ln w="9525">
          <a:noFill/>
          <a:miter lim="800000"/>
          <a:headEnd/>
          <a:tailEnd/>
        </a:ln>
      </xdr:spPr>
    </xdr:sp>
    <xdr:clientData/>
  </xdr:twoCellAnchor>
  <xdr:twoCellAnchor editAs="oneCell">
    <xdr:from>
      <xdr:col>7</xdr:col>
      <xdr:colOff>0</xdr:colOff>
      <xdr:row>8</xdr:row>
      <xdr:rowOff>0</xdr:rowOff>
    </xdr:from>
    <xdr:to>
      <xdr:col>7</xdr:col>
      <xdr:colOff>76200</xdr:colOff>
      <xdr:row>8</xdr:row>
      <xdr:rowOff>190500</xdr:rowOff>
    </xdr:to>
    <xdr:sp macro="" textlink="">
      <xdr:nvSpPr>
        <xdr:cNvPr id="30" name="Text Box 1"/>
        <xdr:cNvSpPr txBox="1">
          <a:spLocks noChangeArrowheads="1"/>
        </xdr:cNvSpPr>
      </xdr:nvSpPr>
      <xdr:spPr bwMode="auto">
        <a:xfrm>
          <a:off x="7210425" y="2314575"/>
          <a:ext cx="76200" cy="190500"/>
        </a:xfrm>
        <a:prstGeom prst="rect">
          <a:avLst/>
        </a:prstGeom>
        <a:noFill/>
        <a:ln w="9525">
          <a:noFill/>
          <a:miter lim="800000"/>
          <a:headEnd/>
          <a:tailEnd/>
        </a:ln>
      </xdr:spPr>
    </xdr:sp>
    <xdr:clientData/>
  </xdr:twoCellAnchor>
  <xdr:twoCellAnchor editAs="oneCell">
    <xdr:from>
      <xdr:col>7</xdr:col>
      <xdr:colOff>0</xdr:colOff>
      <xdr:row>8</xdr:row>
      <xdr:rowOff>0</xdr:rowOff>
    </xdr:from>
    <xdr:to>
      <xdr:col>7</xdr:col>
      <xdr:colOff>76200</xdr:colOff>
      <xdr:row>8</xdr:row>
      <xdr:rowOff>190500</xdr:rowOff>
    </xdr:to>
    <xdr:sp macro="" textlink="">
      <xdr:nvSpPr>
        <xdr:cNvPr id="31" name="Text Box 1"/>
        <xdr:cNvSpPr txBox="1">
          <a:spLocks noChangeArrowheads="1"/>
        </xdr:cNvSpPr>
      </xdr:nvSpPr>
      <xdr:spPr bwMode="auto">
        <a:xfrm>
          <a:off x="7210425" y="2314575"/>
          <a:ext cx="76200" cy="190500"/>
        </a:xfrm>
        <a:prstGeom prst="rect">
          <a:avLst/>
        </a:prstGeom>
        <a:noFill/>
        <a:ln w="9525">
          <a:noFill/>
          <a:miter lim="800000"/>
          <a:headEnd/>
          <a:tailEnd/>
        </a:ln>
      </xdr:spPr>
    </xdr:sp>
    <xdr:clientData/>
  </xdr:twoCellAnchor>
  <xdr:twoCellAnchor editAs="oneCell">
    <xdr:from>
      <xdr:col>7</xdr:col>
      <xdr:colOff>0</xdr:colOff>
      <xdr:row>8</xdr:row>
      <xdr:rowOff>0</xdr:rowOff>
    </xdr:from>
    <xdr:to>
      <xdr:col>7</xdr:col>
      <xdr:colOff>76200</xdr:colOff>
      <xdr:row>8</xdr:row>
      <xdr:rowOff>190500</xdr:rowOff>
    </xdr:to>
    <xdr:sp macro="" textlink="">
      <xdr:nvSpPr>
        <xdr:cNvPr id="32" name="Text Box 1"/>
        <xdr:cNvSpPr txBox="1">
          <a:spLocks noChangeArrowheads="1"/>
        </xdr:cNvSpPr>
      </xdr:nvSpPr>
      <xdr:spPr bwMode="auto">
        <a:xfrm>
          <a:off x="7210425" y="2314575"/>
          <a:ext cx="76200" cy="190500"/>
        </a:xfrm>
        <a:prstGeom prst="rect">
          <a:avLst/>
        </a:prstGeom>
        <a:noFill/>
        <a:ln w="9525">
          <a:noFill/>
          <a:miter lim="800000"/>
          <a:headEnd/>
          <a:tailEnd/>
        </a:ln>
      </xdr:spPr>
    </xdr:sp>
    <xdr:clientData/>
  </xdr:twoCellAnchor>
  <xdr:twoCellAnchor editAs="oneCell">
    <xdr:from>
      <xdr:col>7</xdr:col>
      <xdr:colOff>0</xdr:colOff>
      <xdr:row>8</xdr:row>
      <xdr:rowOff>0</xdr:rowOff>
    </xdr:from>
    <xdr:to>
      <xdr:col>7</xdr:col>
      <xdr:colOff>76200</xdr:colOff>
      <xdr:row>8</xdr:row>
      <xdr:rowOff>190500</xdr:rowOff>
    </xdr:to>
    <xdr:sp macro="" textlink="">
      <xdr:nvSpPr>
        <xdr:cNvPr id="33" name="Text Box 1"/>
        <xdr:cNvSpPr txBox="1">
          <a:spLocks noChangeArrowheads="1"/>
        </xdr:cNvSpPr>
      </xdr:nvSpPr>
      <xdr:spPr bwMode="auto">
        <a:xfrm>
          <a:off x="7210425" y="2314575"/>
          <a:ext cx="76200" cy="190500"/>
        </a:xfrm>
        <a:prstGeom prst="rect">
          <a:avLst/>
        </a:prstGeom>
        <a:noFill/>
        <a:ln w="9525">
          <a:noFill/>
          <a:miter lim="800000"/>
          <a:headEnd/>
          <a:tailEnd/>
        </a:ln>
      </xdr:spPr>
    </xdr:sp>
    <xdr:clientData/>
  </xdr:twoCellAnchor>
  <xdr:twoCellAnchor editAs="oneCell">
    <xdr:from>
      <xdr:col>7</xdr:col>
      <xdr:colOff>0</xdr:colOff>
      <xdr:row>8</xdr:row>
      <xdr:rowOff>0</xdr:rowOff>
    </xdr:from>
    <xdr:to>
      <xdr:col>7</xdr:col>
      <xdr:colOff>76200</xdr:colOff>
      <xdr:row>8</xdr:row>
      <xdr:rowOff>190500</xdr:rowOff>
    </xdr:to>
    <xdr:sp macro="" textlink="">
      <xdr:nvSpPr>
        <xdr:cNvPr id="34" name="Text Box 1"/>
        <xdr:cNvSpPr txBox="1">
          <a:spLocks noChangeArrowheads="1"/>
        </xdr:cNvSpPr>
      </xdr:nvSpPr>
      <xdr:spPr bwMode="auto">
        <a:xfrm>
          <a:off x="7210425" y="2314575"/>
          <a:ext cx="76200" cy="190500"/>
        </a:xfrm>
        <a:prstGeom prst="rect">
          <a:avLst/>
        </a:prstGeom>
        <a:noFill/>
        <a:ln w="9525">
          <a:noFill/>
          <a:miter lim="800000"/>
          <a:headEnd/>
          <a:tailEnd/>
        </a:ln>
      </xdr:spPr>
    </xdr:sp>
    <xdr:clientData/>
  </xdr:twoCellAnchor>
  <xdr:twoCellAnchor editAs="oneCell">
    <xdr:from>
      <xdr:col>7</xdr:col>
      <xdr:colOff>0</xdr:colOff>
      <xdr:row>8</xdr:row>
      <xdr:rowOff>0</xdr:rowOff>
    </xdr:from>
    <xdr:to>
      <xdr:col>7</xdr:col>
      <xdr:colOff>76200</xdr:colOff>
      <xdr:row>8</xdr:row>
      <xdr:rowOff>114300</xdr:rowOff>
    </xdr:to>
    <xdr:sp macro="" textlink="">
      <xdr:nvSpPr>
        <xdr:cNvPr id="35" name="Text Box 1"/>
        <xdr:cNvSpPr txBox="1">
          <a:spLocks noChangeArrowheads="1"/>
        </xdr:cNvSpPr>
      </xdr:nvSpPr>
      <xdr:spPr bwMode="auto">
        <a:xfrm>
          <a:off x="7210425" y="2314575"/>
          <a:ext cx="76200" cy="114300"/>
        </a:xfrm>
        <a:prstGeom prst="rect">
          <a:avLst/>
        </a:prstGeom>
        <a:noFill/>
        <a:ln w="9525">
          <a:noFill/>
          <a:miter lim="800000"/>
          <a:headEnd/>
          <a:tailEnd/>
        </a:ln>
      </xdr:spPr>
    </xdr:sp>
    <xdr:clientData/>
  </xdr:twoCellAnchor>
  <xdr:twoCellAnchor>
    <xdr:from>
      <xdr:col>5</xdr:col>
      <xdr:colOff>666749</xdr:colOff>
      <xdr:row>0</xdr:row>
      <xdr:rowOff>33337</xdr:rowOff>
    </xdr:from>
    <xdr:to>
      <xdr:col>10</xdr:col>
      <xdr:colOff>495299</xdr:colOff>
      <xdr:row>7</xdr:row>
      <xdr:rowOff>142875</xdr:rowOff>
    </xdr:to>
    <xdr:graphicFrame macro="">
      <xdr:nvGraphicFramePr>
        <xdr:cNvPr id="37" name="Chart 3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180977</xdr:colOff>
      <xdr:row>346</xdr:row>
      <xdr:rowOff>123824</xdr:rowOff>
    </xdr:from>
    <xdr:to>
      <xdr:col>3</xdr:col>
      <xdr:colOff>990601</xdr:colOff>
      <xdr:row>362</xdr:row>
      <xdr:rowOff>133349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95250</xdr:colOff>
      <xdr:row>364</xdr:row>
      <xdr:rowOff>190499</xdr:rowOff>
    </xdr:from>
    <xdr:to>
      <xdr:col>3</xdr:col>
      <xdr:colOff>1209675</xdr:colOff>
      <xdr:row>377</xdr:row>
      <xdr:rowOff>66674</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123825</xdr:colOff>
      <xdr:row>379</xdr:row>
      <xdr:rowOff>28574</xdr:rowOff>
    </xdr:from>
    <xdr:to>
      <xdr:col>3</xdr:col>
      <xdr:colOff>1190625</xdr:colOff>
      <xdr:row>400</xdr:row>
      <xdr:rowOff>19049</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66675</xdr:colOff>
      <xdr:row>402</xdr:row>
      <xdr:rowOff>19051</xdr:rowOff>
    </xdr:from>
    <xdr:to>
      <xdr:col>3</xdr:col>
      <xdr:colOff>1209675</xdr:colOff>
      <xdr:row>416</xdr:row>
      <xdr:rowOff>152401</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114300</xdr:colOff>
      <xdr:row>418</xdr:row>
      <xdr:rowOff>152400</xdr:rowOff>
    </xdr:from>
    <xdr:to>
      <xdr:col>3</xdr:col>
      <xdr:colOff>1181100</xdr:colOff>
      <xdr:row>431</xdr:row>
      <xdr:rowOff>133350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114300</xdr:colOff>
      <xdr:row>433</xdr:row>
      <xdr:rowOff>190499</xdr:rowOff>
    </xdr:from>
    <xdr:to>
      <xdr:col>3</xdr:col>
      <xdr:colOff>1143000</xdr:colOff>
      <xdr:row>452</xdr:row>
      <xdr:rowOff>85724</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123825</xdr:colOff>
      <xdr:row>454</xdr:row>
      <xdr:rowOff>133350</xdr:rowOff>
    </xdr:from>
    <xdr:to>
      <xdr:col>3</xdr:col>
      <xdr:colOff>1209675</xdr:colOff>
      <xdr:row>472</xdr:row>
      <xdr:rowOff>76200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85725</xdr:colOff>
      <xdr:row>475</xdr:row>
      <xdr:rowOff>0</xdr:rowOff>
    </xdr:from>
    <xdr:to>
      <xdr:col>3</xdr:col>
      <xdr:colOff>1209675</xdr:colOff>
      <xdr:row>488</xdr:row>
      <xdr:rowOff>114300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490</xdr:row>
      <xdr:rowOff>0</xdr:rowOff>
    </xdr:from>
    <xdr:to>
      <xdr:col>3</xdr:col>
      <xdr:colOff>1238250</xdr:colOff>
      <xdr:row>504</xdr:row>
      <xdr:rowOff>76200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66675</xdr:colOff>
      <xdr:row>507</xdr:row>
      <xdr:rowOff>19049</xdr:rowOff>
    </xdr:from>
    <xdr:to>
      <xdr:col>3</xdr:col>
      <xdr:colOff>1171575</xdr:colOff>
      <xdr:row>521</xdr:row>
      <xdr:rowOff>85725</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76200</xdr:colOff>
      <xdr:row>525</xdr:row>
      <xdr:rowOff>38100</xdr:rowOff>
    </xdr:from>
    <xdr:to>
      <xdr:col>3</xdr:col>
      <xdr:colOff>1181100</xdr:colOff>
      <xdr:row>538</xdr:row>
      <xdr:rowOff>114300</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85725</xdr:colOff>
      <xdr:row>540</xdr:row>
      <xdr:rowOff>152400</xdr:rowOff>
    </xdr:from>
    <xdr:to>
      <xdr:col>3</xdr:col>
      <xdr:colOff>1162050</xdr:colOff>
      <xdr:row>556</xdr:row>
      <xdr:rowOff>114300</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66675</xdr:colOff>
      <xdr:row>558</xdr:row>
      <xdr:rowOff>171450</xdr:rowOff>
    </xdr:from>
    <xdr:to>
      <xdr:col>3</xdr:col>
      <xdr:colOff>1285875</xdr:colOff>
      <xdr:row>573</xdr:row>
      <xdr:rowOff>57150</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95250</xdr:colOff>
      <xdr:row>574</xdr:row>
      <xdr:rowOff>180975</xdr:rowOff>
    </xdr:from>
    <xdr:to>
      <xdr:col>3</xdr:col>
      <xdr:colOff>1190625</xdr:colOff>
      <xdr:row>588</xdr:row>
      <xdr:rowOff>142875</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95250</xdr:colOff>
      <xdr:row>591</xdr:row>
      <xdr:rowOff>19049</xdr:rowOff>
    </xdr:from>
    <xdr:to>
      <xdr:col>3</xdr:col>
      <xdr:colOff>1181100</xdr:colOff>
      <xdr:row>606</xdr:row>
      <xdr:rowOff>123824</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133350</xdr:colOff>
      <xdr:row>608</xdr:row>
      <xdr:rowOff>38100</xdr:rowOff>
    </xdr:from>
    <xdr:to>
      <xdr:col>3</xdr:col>
      <xdr:colOff>1133475</xdr:colOff>
      <xdr:row>622</xdr:row>
      <xdr:rowOff>47625</xdr:rowOff>
    </xdr:to>
    <xdr:graphicFrame macro="">
      <xdr:nvGraphicFramePr>
        <xdr:cNvPr id="17" name="Chart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95250</xdr:colOff>
      <xdr:row>624</xdr:row>
      <xdr:rowOff>161924</xdr:rowOff>
    </xdr:from>
    <xdr:to>
      <xdr:col>3</xdr:col>
      <xdr:colOff>1181100</xdr:colOff>
      <xdr:row>641</xdr:row>
      <xdr:rowOff>133349</xdr:rowOff>
    </xdr:to>
    <xdr:graphicFrame macro="">
      <xdr:nvGraphicFramePr>
        <xdr:cNvPr id="18" name="Chart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0</xdr:col>
      <xdr:colOff>85725</xdr:colOff>
      <xdr:row>643</xdr:row>
      <xdr:rowOff>9525</xdr:rowOff>
    </xdr:from>
    <xdr:to>
      <xdr:col>3</xdr:col>
      <xdr:colOff>1200150</xdr:colOff>
      <xdr:row>657</xdr:row>
      <xdr:rowOff>85725</xdr:rowOff>
    </xdr:to>
    <xdr:graphicFrame macro="">
      <xdr:nvGraphicFramePr>
        <xdr:cNvPr id="19" name="Chart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152400</xdr:colOff>
      <xdr:row>660</xdr:row>
      <xdr:rowOff>133350</xdr:rowOff>
    </xdr:from>
    <xdr:to>
      <xdr:col>3</xdr:col>
      <xdr:colOff>1133475</xdr:colOff>
      <xdr:row>675</xdr:row>
      <xdr:rowOff>28575</xdr:rowOff>
    </xdr:to>
    <xdr:graphicFrame macro="">
      <xdr:nvGraphicFramePr>
        <xdr:cNvPr id="20" name="Chart 1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95250</xdr:colOff>
      <xdr:row>678</xdr:row>
      <xdr:rowOff>85725</xdr:rowOff>
    </xdr:from>
    <xdr:to>
      <xdr:col>3</xdr:col>
      <xdr:colOff>1209675</xdr:colOff>
      <xdr:row>693</xdr:row>
      <xdr:rowOff>114300</xdr:rowOff>
    </xdr:to>
    <xdr:graphicFrame macro="">
      <xdr:nvGraphicFramePr>
        <xdr:cNvPr id="21" name="Chart 2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0</xdr:col>
      <xdr:colOff>95251</xdr:colOff>
      <xdr:row>695</xdr:row>
      <xdr:rowOff>9525</xdr:rowOff>
    </xdr:from>
    <xdr:to>
      <xdr:col>3</xdr:col>
      <xdr:colOff>1085851</xdr:colOff>
      <xdr:row>709</xdr:row>
      <xdr:rowOff>85725</xdr:rowOff>
    </xdr:to>
    <xdr:graphicFrame macro="">
      <xdr:nvGraphicFramePr>
        <xdr:cNvPr id="22" name="Chart 2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0</xdr:col>
      <xdr:colOff>104775</xdr:colOff>
      <xdr:row>711</xdr:row>
      <xdr:rowOff>104775</xdr:rowOff>
    </xdr:from>
    <xdr:to>
      <xdr:col>3</xdr:col>
      <xdr:colOff>1181100</xdr:colOff>
      <xdr:row>726</xdr:row>
      <xdr:rowOff>161925</xdr:rowOff>
    </xdr:to>
    <xdr:graphicFrame macro="">
      <xdr:nvGraphicFramePr>
        <xdr:cNvPr id="23" name="Chart 2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0</xdr:col>
      <xdr:colOff>200025</xdr:colOff>
      <xdr:row>729</xdr:row>
      <xdr:rowOff>0</xdr:rowOff>
    </xdr:from>
    <xdr:to>
      <xdr:col>3</xdr:col>
      <xdr:colOff>1266825</xdr:colOff>
      <xdr:row>743</xdr:row>
      <xdr:rowOff>76200</xdr:rowOff>
    </xdr:to>
    <xdr:graphicFrame macro="">
      <xdr:nvGraphicFramePr>
        <xdr:cNvPr id="24" name="Chart 2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0</xdr:col>
      <xdr:colOff>0</xdr:colOff>
      <xdr:row>744</xdr:row>
      <xdr:rowOff>114299</xdr:rowOff>
    </xdr:from>
    <xdr:to>
      <xdr:col>3</xdr:col>
      <xdr:colOff>1228725</xdr:colOff>
      <xdr:row>758</xdr:row>
      <xdr:rowOff>161924</xdr:rowOff>
    </xdr:to>
    <xdr:graphicFrame macro="">
      <xdr:nvGraphicFramePr>
        <xdr:cNvPr id="25" name="Chart 2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0</xdr:col>
      <xdr:colOff>0</xdr:colOff>
      <xdr:row>760</xdr:row>
      <xdr:rowOff>0</xdr:rowOff>
    </xdr:from>
    <xdr:to>
      <xdr:col>3</xdr:col>
      <xdr:colOff>1181100</xdr:colOff>
      <xdr:row>777</xdr:row>
      <xdr:rowOff>0</xdr:rowOff>
    </xdr:to>
    <xdr:graphicFrame macro="">
      <xdr:nvGraphicFramePr>
        <xdr:cNvPr id="26" name="Chart 2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0</xdr:col>
      <xdr:colOff>114300</xdr:colOff>
      <xdr:row>779</xdr:row>
      <xdr:rowOff>19049</xdr:rowOff>
    </xdr:from>
    <xdr:to>
      <xdr:col>3</xdr:col>
      <xdr:colOff>1200150</xdr:colOff>
      <xdr:row>793</xdr:row>
      <xdr:rowOff>9524</xdr:rowOff>
    </xdr:to>
    <xdr:graphicFrame macro="">
      <xdr:nvGraphicFramePr>
        <xdr:cNvPr id="27" name="Chart 2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0</xdr:col>
      <xdr:colOff>123825</xdr:colOff>
      <xdr:row>794</xdr:row>
      <xdr:rowOff>47624</xdr:rowOff>
    </xdr:from>
    <xdr:to>
      <xdr:col>3</xdr:col>
      <xdr:colOff>1238250</xdr:colOff>
      <xdr:row>808</xdr:row>
      <xdr:rowOff>95249</xdr:rowOff>
    </xdr:to>
    <xdr:graphicFrame macro="">
      <xdr:nvGraphicFramePr>
        <xdr:cNvPr id="28" name="Chart 2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0</xdr:col>
      <xdr:colOff>85725</xdr:colOff>
      <xdr:row>810</xdr:row>
      <xdr:rowOff>9525</xdr:rowOff>
    </xdr:from>
    <xdr:to>
      <xdr:col>3</xdr:col>
      <xdr:colOff>1095375</xdr:colOff>
      <xdr:row>826</xdr:row>
      <xdr:rowOff>142875</xdr:rowOff>
    </xdr:to>
    <xdr:graphicFrame macro="">
      <xdr:nvGraphicFramePr>
        <xdr:cNvPr id="29" name="Chart 2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0</xdr:col>
      <xdr:colOff>104775</xdr:colOff>
      <xdr:row>829</xdr:row>
      <xdr:rowOff>38100</xdr:rowOff>
    </xdr:from>
    <xdr:to>
      <xdr:col>3</xdr:col>
      <xdr:colOff>1114425</xdr:colOff>
      <xdr:row>843</xdr:row>
      <xdr:rowOff>152400</xdr:rowOff>
    </xdr:to>
    <xdr:graphicFrame macro="">
      <xdr:nvGraphicFramePr>
        <xdr:cNvPr id="30" name="Chart 2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0</xdr:col>
      <xdr:colOff>85725</xdr:colOff>
      <xdr:row>845</xdr:row>
      <xdr:rowOff>28575</xdr:rowOff>
    </xdr:from>
    <xdr:to>
      <xdr:col>3</xdr:col>
      <xdr:colOff>1123950</xdr:colOff>
      <xdr:row>857</xdr:row>
      <xdr:rowOff>123825</xdr:rowOff>
    </xdr:to>
    <xdr:graphicFrame macro="">
      <xdr:nvGraphicFramePr>
        <xdr:cNvPr id="31" name="Chart 3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0</xdr:col>
      <xdr:colOff>104775</xdr:colOff>
      <xdr:row>859</xdr:row>
      <xdr:rowOff>152400</xdr:rowOff>
    </xdr:from>
    <xdr:to>
      <xdr:col>3</xdr:col>
      <xdr:colOff>1181100</xdr:colOff>
      <xdr:row>874</xdr:row>
      <xdr:rowOff>38100</xdr:rowOff>
    </xdr:to>
    <xdr:graphicFrame macro="">
      <xdr:nvGraphicFramePr>
        <xdr:cNvPr id="32" name="Chart 3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0</xdr:col>
      <xdr:colOff>85725</xdr:colOff>
      <xdr:row>879</xdr:row>
      <xdr:rowOff>19050</xdr:rowOff>
    </xdr:from>
    <xdr:to>
      <xdr:col>3</xdr:col>
      <xdr:colOff>1181100</xdr:colOff>
      <xdr:row>892</xdr:row>
      <xdr:rowOff>123825</xdr:rowOff>
    </xdr:to>
    <xdr:graphicFrame macro="">
      <xdr:nvGraphicFramePr>
        <xdr:cNvPr id="33" name="Chart 3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0</xdr:col>
      <xdr:colOff>152400</xdr:colOff>
      <xdr:row>894</xdr:row>
      <xdr:rowOff>0</xdr:rowOff>
    </xdr:from>
    <xdr:to>
      <xdr:col>3</xdr:col>
      <xdr:colOff>1219200</xdr:colOff>
      <xdr:row>908</xdr:row>
      <xdr:rowOff>76200</xdr:rowOff>
    </xdr:to>
    <xdr:graphicFrame macro="">
      <xdr:nvGraphicFramePr>
        <xdr:cNvPr id="34" name="Chart 3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0</xdr:col>
      <xdr:colOff>104775</xdr:colOff>
      <xdr:row>910</xdr:row>
      <xdr:rowOff>0</xdr:rowOff>
    </xdr:from>
    <xdr:to>
      <xdr:col>3</xdr:col>
      <xdr:colOff>1209675</xdr:colOff>
      <xdr:row>924</xdr:row>
      <xdr:rowOff>76200</xdr:rowOff>
    </xdr:to>
    <xdr:graphicFrame macro="">
      <xdr:nvGraphicFramePr>
        <xdr:cNvPr id="35" name="Chart 3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180977</xdr:colOff>
      <xdr:row>346</xdr:row>
      <xdr:rowOff>123824</xdr:rowOff>
    </xdr:from>
    <xdr:to>
      <xdr:col>3</xdr:col>
      <xdr:colOff>990601</xdr:colOff>
      <xdr:row>362</xdr:row>
      <xdr:rowOff>133349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95250</xdr:colOff>
      <xdr:row>364</xdr:row>
      <xdr:rowOff>190499</xdr:rowOff>
    </xdr:from>
    <xdr:to>
      <xdr:col>3</xdr:col>
      <xdr:colOff>1209675</xdr:colOff>
      <xdr:row>377</xdr:row>
      <xdr:rowOff>66674</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123825</xdr:colOff>
      <xdr:row>379</xdr:row>
      <xdr:rowOff>28574</xdr:rowOff>
    </xdr:from>
    <xdr:to>
      <xdr:col>3</xdr:col>
      <xdr:colOff>1190625</xdr:colOff>
      <xdr:row>396</xdr:row>
      <xdr:rowOff>19049</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66675</xdr:colOff>
      <xdr:row>398</xdr:row>
      <xdr:rowOff>19051</xdr:rowOff>
    </xdr:from>
    <xdr:to>
      <xdr:col>3</xdr:col>
      <xdr:colOff>1209675</xdr:colOff>
      <xdr:row>412</xdr:row>
      <xdr:rowOff>152401</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114300</xdr:colOff>
      <xdr:row>414</xdr:row>
      <xdr:rowOff>152400</xdr:rowOff>
    </xdr:from>
    <xdr:to>
      <xdr:col>3</xdr:col>
      <xdr:colOff>1181100</xdr:colOff>
      <xdr:row>427</xdr:row>
      <xdr:rowOff>133350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114300</xdr:colOff>
      <xdr:row>429</xdr:row>
      <xdr:rowOff>190499</xdr:rowOff>
    </xdr:from>
    <xdr:to>
      <xdr:col>3</xdr:col>
      <xdr:colOff>1143000</xdr:colOff>
      <xdr:row>448</xdr:row>
      <xdr:rowOff>85724</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123825</xdr:colOff>
      <xdr:row>450</xdr:row>
      <xdr:rowOff>133350</xdr:rowOff>
    </xdr:from>
    <xdr:to>
      <xdr:col>3</xdr:col>
      <xdr:colOff>1209675</xdr:colOff>
      <xdr:row>468</xdr:row>
      <xdr:rowOff>76200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85725</xdr:colOff>
      <xdr:row>471</xdr:row>
      <xdr:rowOff>0</xdr:rowOff>
    </xdr:from>
    <xdr:to>
      <xdr:col>3</xdr:col>
      <xdr:colOff>1209675</xdr:colOff>
      <xdr:row>484</xdr:row>
      <xdr:rowOff>114300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486</xdr:row>
      <xdr:rowOff>0</xdr:rowOff>
    </xdr:from>
    <xdr:to>
      <xdr:col>3</xdr:col>
      <xdr:colOff>1238250</xdr:colOff>
      <xdr:row>500</xdr:row>
      <xdr:rowOff>76200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66675</xdr:colOff>
      <xdr:row>503</xdr:row>
      <xdr:rowOff>19049</xdr:rowOff>
    </xdr:from>
    <xdr:to>
      <xdr:col>3</xdr:col>
      <xdr:colOff>1171575</xdr:colOff>
      <xdr:row>517</xdr:row>
      <xdr:rowOff>85725</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76200</xdr:colOff>
      <xdr:row>521</xdr:row>
      <xdr:rowOff>38100</xdr:rowOff>
    </xdr:from>
    <xdr:to>
      <xdr:col>3</xdr:col>
      <xdr:colOff>1181100</xdr:colOff>
      <xdr:row>534</xdr:row>
      <xdr:rowOff>114300</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85725</xdr:colOff>
      <xdr:row>536</xdr:row>
      <xdr:rowOff>152400</xdr:rowOff>
    </xdr:from>
    <xdr:to>
      <xdr:col>3</xdr:col>
      <xdr:colOff>1162050</xdr:colOff>
      <xdr:row>552</xdr:row>
      <xdr:rowOff>114300</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66675</xdr:colOff>
      <xdr:row>554</xdr:row>
      <xdr:rowOff>171450</xdr:rowOff>
    </xdr:from>
    <xdr:to>
      <xdr:col>3</xdr:col>
      <xdr:colOff>1285875</xdr:colOff>
      <xdr:row>569</xdr:row>
      <xdr:rowOff>57150</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95250</xdr:colOff>
      <xdr:row>570</xdr:row>
      <xdr:rowOff>180975</xdr:rowOff>
    </xdr:from>
    <xdr:to>
      <xdr:col>3</xdr:col>
      <xdr:colOff>1190625</xdr:colOff>
      <xdr:row>584</xdr:row>
      <xdr:rowOff>142875</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95250</xdr:colOff>
      <xdr:row>587</xdr:row>
      <xdr:rowOff>19049</xdr:rowOff>
    </xdr:from>
    <xdr:to>
      <xdr:col>3</xdr:col>
      <xdr:colOff>1181100</xdr:colOff>
      <xdr:row>602</xdr:row>
      <xdr:rowOff>123824</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133350</xdr:colOff>
      <xdr:row>604</xdr:row>
      <xdr:rowOff>38100</xdr:rowOff>
    </xdr:from>
    <xdr:to>
      <xdr:col>3</xdr:col>
      <xdr:colOff>1133475</xdr:colOff>
      <xdr:row>618</xdr:row>
      <xdr:rowOff>47625</xdr:rowOff>
    </xdr:to>
    <xdr:graphicFrame macro="">
      <xdr:nvGraphicFramePr>
        <xdr:cNvPr id="17" name="Chart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95250</xdr:colOff>
      <xdr:row>620</xdr:row>
      <xdr:rowOff>161924</xdr:rowOff>
    </xdr:from>
    <xdr:to>
      <xdr:col>3</xdr:col>
      <xdr:colOff>1181100</xdr:colOff>
      <xdr:row>637</xdr:row>
      <xdr:rowOff>133349</xdr:rowOff>
    </xdr:to>
    <xdr:graphicFrame macro="">
      <xdr:nvGraphicFramePr>
        <xdr:cNvPr id="18" name="Chart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0</xdr:col>
      <xdr:colOff>85725</xdr:colOff>
      <xdr:row>639</xdr:row>
      <xdr:rowOff>9525</xdr:rowOff>
    </xdr:from>
    <xdr:to>
      <xdr:col>3</xdr:col>
      <xdr:colOff>1200150</xdr:colOff>
      <xdr:row>653</xdr:row>
      <xdr:rowOff>85725</xdr:rowOff>
    </xdr:to>
    <xdr:graphicFrame macro="">
      <xdr:nvGraphicFramePr>
        <xdr:cNvPr id="19" name="Chart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152400</xdr:colOff>
      <xdr:row>656</xdr:row>
      <xdr:rowOff>133350</xdr:rowOff>
    </xdr:from>
    <xdr:to>
      <xdr:col>3</xdr:col>
      <xdr:colOff>1133475</xdr:colOff>
      <xdr:row>671</xdr:row>
      <xdr:rowOff>28575</xdr:rowOff>
    </xdr:to>
    <xdr:graphicFrame macro="">
      <xdr:nvGraphicFramePr>
        <xdr:cNvPr id="20" name="Chart 1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95250</xdr:colOff>
      <xdr:row>674</xdr:row>
      <xdr:rowOff>85725</xdr:rowOff>
    </xdr:from>
    <xdr:to>
      <xdr:col>3</xdr:col>
      <xdr:colOff>1209675</xdr:colOff>
      <xdr:row>689</xdr:row>
      <xdr:rowOff>114300</xdr:rowOff>
    </xdr:to>
    <xdr:graphicFrame macro="">
      <xdr:nvGraphicFramePr>
        <xdr:cNvPr id="21" name="Chart 2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0</xdr:col>
      <xdr:colOff>95251</xdr:colOff>
      <xdr:row>691</xdr:row>
      <xdr:rowOff>9525</xdr:rowOff>
    </xdr:from>
    <xdr:to>
      <xdr:col>3</xdr:col>
      <xdr:colOff>1085851</xdr:colOff>
      <xdr:row>705</xdr:row>
      <xdr:rowOff>85725</xdr:rowOff>
    </xdr:to>
    <xdr:graphicFrame macro="">
      <xdr:nvGraphicFramePr>
        <xdr:cNvPr id="22" name="Chart 2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0</xdr:col>
      <xdr:colOff>104775</xdr:colOff>
      <xdr:row>707</xdr:row>
      <xdr:rowOff>104775</xdr:rowOff>
    </xdr:from>
    <xdr:to>
      <xdr:col>3</xdr:col>
      <xdr:colOff>1181100</xdr:colOff>
      <xdr:row>722</xdr:row>
      <xdr:rowOff>161925</xdr:rowOff>
    </xdr:to>
    <xdr:graphicFrame macro="">
      <xdr:nvGraphicFramePr>
        <xdr:cNvPr id="23" name="Chart 2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0</xdr:col>
      <xdr:colOff>200025</xdr:colOff>
      <xdr:row>725</xdr:row>
      <xdr:rowOff>0</xdr:rowOff>
    </xdr:from>
    <xdr:to>
      <xdr:col>3</xdr:col>
      <xdr:colOff>1266825</xdr:colOff>
      <xdr:row>739</xdr:row>
      <xdr:rowOff>76200</xdr:rowOff>
    </xdr:to>
    <xdr:graphicFrame macro="">
      <xdr:nvGraphicFramePr>
        <xdr:cNvPr id="24" name="Chart 2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0</xdr:col>
      <xdr:colOff>0</xdr:colOff>
      <xdr:row>740</xdr:row>
      <xdr:rowOff>114299</xdr:rowOff>
    </xdr:from>
    <xdr:to>
      <xdr:col>3</xdr:col>
      <xdr:colOff>1228725</xdr:colOff>
      <xdr:row>754</xdr:row>
      <xdr:rowOff>161924</xdr:rowOff>
    </xdr:to>
    <xdr:graphicFrame macro="">
      <xdr:nvGraphicFramePr>
        <xdr:cNvPr id="25" name="Chart 2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0</xdr:col>
      <xdr:colOff>0</xdr:colOff>
      <xdr:row>756</xdr:row>
      <xdr:rowOff>0</xdr:rowOff>
    </xdr:from>
    <xdr:to>
      <xdr:col>3</xdr:col>
      <xdr:colOff>1181100</xdr:colOff>
      <xdr:row>773</xdr:row>
      <xdr:rowOff>0</xdr:rowOff>
    </xdr:to>
    <xdr:graphicFrame macro="">
      <xdr:nvGraphicFramePr>
        <xdr:cNvPr id="26" name="Chart 2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0</xdr:col>
      <xdr:colOff>114300</xdr:colOff>
      <xdr:row>775</xdr:row>
      <xdr:rowOff>19049</xdr:rowOff>
    </xdr:from>
    <xdr:to>
      <xdr:col>3</xdr:col>
      <xdr:colOff>1200150</xdr:colOff>
      <xdr:row>789</xdr:row>
      <xdr:rowOff>9524</xdr:rowOff>
    </xdr:to>
    <xdr:graphicFrame macro="">
      <xdr:nvGraphicFramePr>
        <xdr:cNvPr id="27" name="Chart 2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0</xdr:col>
      <xdr:colOff>123825</xdr:colOff>
      <xdr:row>790</xdr:row>
      <xdr:rowOff>47624</xdr:rowOff>
    </xdr:from>
    <xdr:to>
      <xdr:col>3</xdr:col>
      <xdr:colOff>1238250</xdr:colOff>
      <xdr:row>804</xdr:row>
      <xdr:rowOff>95249</xdr:rowOff>
    </xdr:to>
    <xdr:graphicFrame macro="">
      <xdr:nvGraphicFramePr>
        <xdr:cNvPr id="28" name="Chart 2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0</xdr:col>
      <xdr:colOff>85725</xdr:colOff>
      <xdr:row>806</xdr:row>
      <xdr:rowOff>9525</xdr:rowOff>
    </xdr:from>
    <xdr:to>
      <xdr:col>3</xdr:col>
      <xdr:colOff>1095375</xdr:colOff>
      <xdr:row>822</xdr:row>
      <xdr:rowOff>142875</xdr:rowOff>
    </xdr:to>
    <xdr:graphicFrame macro="">
      <xdr:nvGraphicFramePr>
        <xdr:cNvPr id="29" name="Chart 2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0</xdr:col>
      <xdr:colOff>104775</xdr:colOff>
      <xdr:row>825</xdr:row>
      <xdr:rowOff>38100</xdr:rowOff>
    </xdr:from>
    <xdr:to>
      <xdr:col>3</xdr:col>
      <xdr:colOff>1114425</xdr:colOff>
      <xdr:row>839</xdr:row>
      <xdr:rowOff>152400</xdr:rowOff>
    </xdr:to>
    <xdr:graphicFrame macro="">
      <xdr:nvGraphicFramePr>
        <xdr:cNvPr id="30" name="Chart 2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0</xdr:col>
      <xdr:colOff>85725</xdr:colOff>
      <xdr:row>841</xdr:row>
      <xdr:rowOff>28575</xdr:rowOff>
    </xdr:from>
    <xdr:to>
      <xdr:col>3</xdr:col>
      <xdr:colOff>1123950</xdr:colOff>
      <xdr:row>853</xdr:row>
      <xdr:rowOff>123825</xdr:rowOff>
    </xdr:to>
    <xdr:graphicFrame macro="">
      <xdr:nvGraphicFramePr>
        <xdr:cNvPr id="31" name="Chart 3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0</xdr:col>
      <xdr:colOff>104775</xdr:colOff>
      <xdr:row>855</xdr:row>
      <xdr:rowOff>152400</xdr:rowOff>
    </xdr:from>
    <xdr:to>
      <xdr:col>3</xdr:col>
      <xdr:colOff>1181100</xdr:colOff>
      <xdr:row>870</xdr:row>
      <xdr:rowOff>38100</xdr:rowOff>
    </xdr:to>
    <xdr:graphicFrame macro="">
      <xdr:nvGraphicFramePr>
        <xdr:cNvPr id="32" name="Chart 3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0</xdr:col>
      <xdr:colOff>85725</xdr:colOff>
      <xdr:row>875</xdr:row>
      <xdr:rowOff>19050</xdr:rowOff>
    </xdr:from>
    <xdr:to>
      <xdr:col>3</xdr:col>
      <xdr:colOff>1181100</xdr:colOff>
      <xdr:row>888</xdr:row>
      <xdr:rowOff>123825</xdr:rowOff>
    </xdr:to>
    <xdr:graphicFrame macro="">
      <xdr:nvGraphicFramePr>
        <xdr:cNvPr id="33" name="Chart 3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0</xdr:col>
      <xdr:colOff>152400</xdr:colOff>
      <xdr:row>890</xdr:row>
      <xdr:rowOff>0</xdr:rowOff>
    </xdr:from>
    <xdr:to>
      <xdr:col>3</xdr:col>
      <xdr:colOff>1219200</xdr:colOff>
      <xdr:row>904</xdr:row>
      <xdr:rowOff>76200</xdr:rowOff>
    </xdr:to>
    <xdr:graphicFrame macro="">
      <xdr:nvGraphicFramePr>
        <xdr:cNvPr id="34" name="Chart 3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0</xdr:col>
      <xdr:colOff>104775</xdr:colOff>
      <xdr:row>906</xdr:row>
      <xdr:rowOff>0</xdr:rowOff>
    </xdr:from>
    <xdr:to>
      <xdr:col>3</xdr:col>
      <xdr:colOff>1209675</xdr:colOff>
      <xdr:row>920</xdr:row>
      <xdr:rowOff>76200</xdr:rowOff>
    </xdr:to>
    <xdr:graphicFrame macro="">
      <xdr:nvGraphicFramePr>
        <xdr:cNvPr id="35" name="Chart 3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180977</xdr:colOff>
      <xdr:row>346</xdr:row>
      <xdr:rowOff>123824</xdr:rowOff>
    </xdr:from>
    <xdr:to>
      <xdr:col>3</xdr:col>
      <xdr:colOff>990601</xdr:colOff>
      <xdr:row>362</xdr:row>
      <xdr:rowOff>133349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95250</xdr:colOff>
      <xdr:row>364</xdr:row>
      <xdr:rowOff>190499</xdr:rowOff>
    </xdr:from>
    <xdr:to>
      <xdr:col>3</xdr:col>
      <xdr:colOff>1209675</xdr:colOff>
      <xdr:row>377</xdr:row>
      <xdr:rowOff>66674</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123825</xdr:colOff>
      <xdr:row>379</xdr:row>
      <xdr:rowOff>28574</xdr:rowOff>
    </xdr:from>
    <xdr:to>
      <xdr:col>3</xdr:col>
      <xdr:colOff>1190625</xdr:colOff>
      <xdr:row>396</xdr:row>
      <xdr:rowOff>19049</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66675</xdr:colOff>
      <xdr:row>398</xdr:row>
      <xdr:rowOff>19051</xdr:rowOff>
    </xdr:from>
    <xdr:to>
      <xdr:col>3</xdr:col>
      <xdr:colOff>1209675</xdr:colOff>
      <xdr:row>412</xdr:row>
      <xdr:rowOff>152401</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114300</xdr:colOff>
      <xdr:row>414</xdr:row>
      <xdr:rowOff>152400</xdr:rowOff>
    </xdr:from>
    <xdr:to>
      <xdr:col>3</xdr:col>
      <xdr:colOff>1181100</xdr:colOff>
      <xdr:row>427</xdr:row>
      <xdr:rowOff>133350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114300</xdr:colOff>
      <xdr:row>429</xdr:row>
      <xdr:rowOff>190499</xdr:rowOff>
    </xdr:from>
    <xdr:to>
      <xdr:col>3</xdr:col>
      <xdr:colOff>1143000</xdr:colOff>
      <xdr:row>448</xdr:row>
      <xdr:rowOff>85724</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123825</xdr:colOff>
      <xdr:row>450</xdr:row>
      <xdr:rowOff>133350</xdr:rowOff>
    </xdr:from>
    <xdr:to>
      <xdr:col>3</xdr:col>
      <xdr:colOff>1209675</xdr:colOff>
      <xdr:row>468</xdr:row>
      <xdr:rowOff>76200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85725</xdr:colOff>
      <xdr:row>471</xdr:row>
      <xdr:rowOff>0</xdr:rowOff>
    </xdr:from>
    <xdr:to>
      <xdr:col>3</xdr:col>
      <xdr:colOff>1209675</xdr:colOff>
      <xdr:row>484</xdr:row>
      <xdr:rowOff>114300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486</xdr:row>
      <xdr:rowOff>0</xdr:rowOff>
    </xdr:from>
    <xdr:to>
      <xdr:col>3</xdr:col>
      <xdr:colOff>1238250</xdr:colOff>
      <xdr:row>500</xdr:row>
      <xdr:rowOff>76200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66675</xdr:colOff>
      <xdr:row>503</xdr:row>
      <xdr:rowOff>19049</xdr:rowOff>
    </xdr:from>
    <xdr:to>
      <xdr:col>3</xdr:col>
      <xdr:colOff>1171575</xdr:colOff>
      <xdr:row>517</xdr:row>
      <xdr:rowOff>85725</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76200</xdr:colOff>
      <xdr:row>521</xdr:row>
      <xdr:rowOff>38100</xdr:rowOff>
    </xdr:from>
    <xdr:to>
      <xdr:col>3</xdr:col>
      <xdr:colOff>1181100</xdr:colOff>
      <xdr:row>534</xdr:row>
      <xdr:rowOff>114300</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85725</xdr:colOff>
      <xdr:row>536</xdr:row>
      <xdr:rowOff>152400</xdr:rowOff>
    </xdr:from>
    <xdr:to>
      <xdr:col>3</xdr:col>
      <xdr:colOff>1162050</xdr:colOff>
      <xdr:row>552</xdr:row>
      <xdr:rowOff>114300</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66675</xdr:colOff>
      <xdr:row>554</xdr:row>
      <xdr:rowOff>171450</xdr:rowOff>
    </xdr:from>
    <xdr:to>
      <xdr:col>3</xdr:col>
      <xdr:colOff>1285875</xdr:colOff>
      <xdr:row>569</xdr:row>
      <xdr:rowOff>57150</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95250</xdr:colOff>
      <xdr:row>570</xdr:row>
      <xdr:rowOff>180975</xdr:rowOff>
    </xdr:from>
    <xdr:to>
      <xdr:col>3</xdr:col>
      <xdr:colOff>1190625</xdr:colOff>
      <xdr:row>584</xdr:row>
      <xdr:rowOff>142875</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95250</xdr:colOff>
      <xdr:row>587</xdr:row>
      <xdr:rowOff>19049</xdr:rowOff>
    </xdr:from>
    <xdr:to>
      <xdr:col>3</xdr:col>
      <xdr:colOff>1181100</xdr:colOff>
      <xdr:row>602</xdr:row>
      <xdr:rowOff>123824</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133350</xdr:colOff>
      <xdr:row>604</xdr:row>
      <xdr:rowOff>38100</xdr:rowOff>
    </xdr:from>
    <xdr:to>
      <xdr:col>3</xdr:col>
      <xdr:colOff>1133475</xdr:colOff>
      <xdr:row>618</xdr:row>
      <xdr:rowOff>47625</xdr:rowOff>
    </xdr:to>
    <xdr:graphicFrame macro="">
      <xdr:nvGraphicFramePr>
        <xdr:cNvPr id="17" name="Chart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95250</xdr:colOff>
      <xdr:row>620</xdr:row>
      <xdr:rowOff>161924</xdr:rowOff>
    </xdr:from>
    <xdr:to>
      <xdr:col>3</xdr:col>
      <xdr:colOff>1181100</xdr:colOff>
      <xdr:row>637</xdr:row>
      <xdr:rowOff>133349</xdr:rowOff>
    </xdr:to>
    <xdr:graphicFrame macro="">
      <xdr:nvGraphicFramePr>
        <xdr:cNvPr id="18" name="Chart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0</xdr:col>
      <xdr:colOff>85725</xdr:colOff>
      <xdr:row>639</xdr:row>
      <xdr:rowOff>9525</xdr:rowOff>
    </xdr:from>
    <xdr:to>
      <xdr:col>3</xdr:col>
      <xdr:colOff>1200150</xdr:colOff>
      <xdr:row>653</xdr:row>
      <xdr:rowOff>85725</xdr:rowOff>
    </xdr:to>
    <xdr:graphicFrame macro="">
      <xdr:nvGraphicFramePr>
        <xdr:cNvPr id="19" name="Chart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152400</xdr:colOff>
      <xdr:row>656</xdr:row>
      <xdr:rowOff>133350</xdr:rowOff>
    </xdr:from>
    <xdr:to>
      <xdr:col>3</xdr:col>
      <xdr:colOff>1133475</xdr:colOff>
      <xdr:row>671</xdr:row>
      <xdr:rowOff>28575</xdr:rowOff>
    </xdr:to>
    <xdr:graphicFrame macro="">
      <xdr:nvGraphicFramePr>
        <xdr:cNvPr id="20" name="Chart 1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95250</xdr:colOff>
      <xdr:row>674</xdr:row>
      <xdr:rowOff>85725</xdr:rowOff>
    </xdr:from>
    <xdr:to>
      <xdr:col>3</xdr:col>
      <xdr:colOff>1209675</xdr:colOff>
      <xdr:row>689</xdr:row>
      <xdr:rowOff>114300</xdr:rowOff>
    </xdr:to>
    <xdr:graphicFrame macro="">
      <xdr:nvGraphicFramePr>
        <xdr:cNvPr id="21" name="Chart 2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0</xdr:col>
      <xdr:colOff>95251</xdr:colOff>
      <xdr:row>691</xdr:row>
      <xdr:rowOff>9525</xdr:rowOff>
    </xdr:from>
    <xdr:to>
      <xdr:col>3</xdr:col>
      <xdr:colOff>1085851</xdr:colOff>
      <xdr:row>705</xdr:row>
      <xdr:rowOff>85725</xdr:rowOff>
    </xdr:to>
    <xdr:graphicFrame macro="">
      <xdr:nvGraphicFramePr>
        <xdr:cNvPr id="22" name="Chart 2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0</xdr:col>
      <xdr:colOff>104775</xdr:colOff>
      <xdr:row>707</xdr:row>
      <xdr:rowOff>104775</xdr:rowOff>
    </xdr:from>
    <xdr:to>
      <xdr:col>3</xdr:col>
      <xdr:colOff>1181100</xdr:colOff>
      <xdr:row>722</xdr:row>
      <xdr:rowOff>161925</xdr:rowOff>
    </xdr:to>
    <xdr:graphicFrame macro="">
      <xdr:nvGraphicFramePr>
        <xdr:cNvPr id="23" name="Chart 2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0</xdr:col>
      <xdr:colOff>200025</xdr:colOff>
      <xdr:row>725</xdr:row>
      <xdr:rowOff>0</xdr:rowOff>
    </xdr:from>
    <xdr:to>
      <xdr:col>3</xdr:col>
      <xdr:colOff>1266825</xdr:colOff>
      <xdr:row>739</xdr:row>
      <xdr:rowOff>76200</xdr:rowOff>
    </xdr:to>
    <xdr:graphicFrame macro="">
      <xdr:nvGraphicFramePr>
        <xdr:cNvPr id="24" name="Chart 2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0</xdr:col>
      <xdr:colOff>0</xdr:colOff>
      <xdr:row>740</xdr:row>
      <xdr:rowOff>114299</xdr:rowOff>
    </xdr:from>
    <xdr:to>
      <xdr:col>3</xdr:col>
      <xdr:colOff>1228725</xdr:colOff>
      <xdr:row>754</xdr:row>
      <xdr:rowOff>161924</xdr:rowOff>
    </xdr:to>
    <xdr:graphicFrame macro="">
      <xdr:nvGraphicFramePr>
        <xdr:cNvPr id="25" name="Chart 2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0</xdr:col>
      <xdr:colOff>0</xdr:colOff>
      <xdr:row>756</xdr:row>
      <xdr:rowOff>0</xdr:rowOff>
    </xdr:from>
    <xdr:to>
      <xdr:col>3</xdr:col>
      <xdr:colOff>1181100</xdr:colOff>
      <xdr:row>773</xdr:row>
      <xdr:rowOff>0</xdr:rowOff>
    </xdr:to>
    <xdr:graphicFrame macro="">
      <xdr:nvGraphicFramePr>
        <xdr:cNvPr id="26" name="Chart 2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0</xdr:col>
      <xdr:colOff>114300</xdr:colOff>
      <xdr:row>775</xdr:row>
      <xdr:rowOff>19049</xdr:rowOff>
    </xdr:from>
    <xdr:to>
      <xdr:col>3</xdr:col>
      <xdr:colOff>1200150</xdr:colOff>
      <xdr:row>789</xdr:row>
      <xdr:rowOff>9524</xdr:rowOff>
    </xdr:to>
    <xdr:graphicFrame macro="">
      <xdr:nvGraphicFramePr>
        <xdr:cNvPr id="27" name="Chart 2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0</xdr:col>
      <xdr:colOff>123825</xdr:colOff>
      <xdr:row>790</xdr:row>
      <xdr:rowOff>47624</xdr:rowOff>
    </xdr:from>
    <xdr:to>
      <xdr:col>3</xdr:col>
      <xdr:colOff>1238250</xdr:colOff>
      <xdr:row>804</xdr:row>
      <xdr:rowOff>95249</xdr:rowOff>
    </xdr:to>
    <xdr:graphicFrame macro="">
      <xdr:nvGraphicFramePr>
        <xdr:cNvPr id="28" name="Chart 2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0</xdr:col>
      <xdr:colOff>85725</xdr:colOff>
      <xdr:row>806</xdr:row>
      <xdr:rowOff>9525</xdr:rowOff>
    </xdr:from>
    <xdr:to>
      <xdr:col>3</xdr:col>
      <xdr:colOff>1095375</xdr:colOff>
      <xdr:row>822</xdr:row>
      <xdr:rowOff>142875</xdr:rowOff>
    </xdr:to>
    <xdr:graphicFrame macro="">
      <xdr:nvGraphicFramePr>
        <xdr:cNvPr id="29" name="Chart 2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0</xdr:col>
      <xdr:colOff>104775</xdr:colOff>
      <xdr:row>825</xdr:row>
      <xdr:rowOff>38100</xdr:rowOff>
    </xdr:from>
    <xdr:to>
      <xdr:col>3</xdr:col>
      <xdr:colOff>1114425</xdr:colOff>
      <xdr:row>839</xdr:row>
      <xdr:rowOff>152400</xdr:rowOff>
    </xdr:to>
    <xdr:graphicFrame macro="">
      <xdr:nvGraphicFramePr>
        <xdr:cNvPr id="30" name="Chart 2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0</xdr:col>
      <xdr:colOff>85725</xdr:colOff>
      <xdr:row>841</xdr:row>
      <xdr:rowOff>28575</xdr:rowOff>
    </xdr:from>
    <xdr:to>
      <xdr:col>3</xdr:col>
      <xdr:colOff>1123950</xdr:colOff>
      <xdr:row>853</xdr:row>
      <xdr:rowOff>123825</xdr:rowOff>
    </xdr:to>
    <xdr:graphicFrame macro="">
      <xdr:nvGraphicFramePr>
        <xdr:cNvPr id="31" name="Chart 3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0</xdr:col>
      <xdr:colOff>104775</xdr:colOff>
      <xdr:row>855</xdr:row>
      <xdr:rowOff>152400</xdr:rowOff>
    </xdr:from>
    <xdr:to>
      <xdr:col>3</xdr:col>
      <xdr:colOff>1181100</xdr:colOff>
      <xdr:row>870</xdr:row>
      <xdr:rowOff>38100</xdr:rowOff>
    </xdr:to>
    <xdr:graphicFrame macro="">
      <xdr:nvGraphicFramePr>
        <xdr:cNvPr id="32" name="Chart 3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0</xdr:col>
      <xdr:colOff>85725</xdr:colOff>
      <xdr:row>875</xdr:row>
      <xdr:rowOff>19050</xdr:rowOff>
    </xdr:from>
    <xdr:to>
      <xdr:col>3</xdr:col>
      <xdr:colOff>1181100</xdr:colOff>
      <xdr:row>888</xdr:row>
      <xdr:rowOff>123825</xdr:rowOff>
    </xdr:to>
    <xdr:graphicFrame macro="">
      <xdr:nvGraphicFramePr>
        <xdr:cNvPr id="33" name="Chart 3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0</xdr:col>
      <xdr:colOff>152400</xdr:colOff>
      <xdr:row>890</xdr:row>
      <xdr:rowOff>0</xdr:rowOff>
    </xdr:from>
    <xdr:to>
      <xdr:col>3</xdr:col>
      <xdr:colOff>1219200</xdr:colOff>
      <xdr:row>904</xdr:row>
      <xdr:rowOff>76200</xdr:rowOff>
    </xdr:to>
    <xdr:graphicFrame macro="">
      <xdr:nvGraphicFramePr>
        <xdr:cNvPr id="34" name="Chart 3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0</xdr:col>
      <xdr:colOff>104775</xdr:colOff>
      <xdr:row>906</xdr:row>
      <xdr:rowOff>0</xdr:rowOff>
    </xdr:from>
    <xdr:to>
      <xdr:col>3</xdr:col>
      <xdr:colOff>1209675</xdr:colOff>
      <xdr:row>920</xdr:row>
      <xdr:rowOff>76200</xdr:rowOff>
    </xdr:to>
    <xdr:graphicFrame macro="">
      <xdr:nvGraphicFramePr>
        <xdr:cNvPr id="35" name="Chart 3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180977</xdr:colOff>
      <xdr:row>346</xdr:row>
      <xdr:rowOff>123824</xdr:rowOff>
    </xdr:from>
    <xdr:to>
      <xdr:col>3</xdr:col>
      <xdr:colOff>990601</xdr:colOff>
      <xdr:row>362</xdr:row>
      <xdr:rowOff>133349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95250</xdr:colOff>
      <xdr:row>364</xdr:row>
      <xdr:rowOff>190499</xdr:rowOff>
    </xdr:from>
    <xdr:to>
      <xdr:col>3</xdr:col>
      <xdr:colOff>1209675</xdr:colOff>
      <xdr:row>377</xdr:row>
      <xdr:rowOff>66674</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123825</xdr:colOff>
      <xdr:row>379</xdr:row>
      <xdr:rowOff>28574</xdr:rowOff>
    </xdr:from>
    <xdr:to>
      <xdr:col>3</xdr:col>
      <xdr:colOff>1190625</xdr:colOff>
      <xdr:row>396</xdr:row>
      <xdr:rowOff>19049</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66675</xdr:colOff>
      <xdr:row>398</xdr:row>
      <xdr:rowOff>19051</xdr:rowOff>
    </xdr:from>
    <xdr:to>
      <xdr:col>3</xdr:col>
      <xdr:colOff>1209675</xdr:colOff>
      <xdr:row>412</xdr:row>
      <xdr:rowOff>152401</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114300</xdr:colOff>
      <xdr:row>414</xdr:row>
      <xdr:rowOff>152400</xdr:rowOff>
    </xdr:from>
    <xdr:to>
      <xdr:col>3</xdr:col>
      <xdr:colOff>1181100</xdr:colOff>
      <xdr:row>427</xdr:row>
      <xdr:rowOff>133350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114300</xdr:colOff>
      <xdr:row>429</xdr:row>
      <xdr:rowOff>190499</xdr:rowOff>
    </xdr:from>
    <xdr:to>
      <xdr:col>3</xdr:col>
      <xdr:colOff>1143000</xdr:colOff>
      <xdr:row>448</xdr:row>
      <xdr:rowOff>85724</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123825</xdr:colOff>
      <xdr:row>450</xdr:row>
      <xdr:rowOff>133350</xdr:rowOff>
    </xdr:from>
    <xdr:to>
      <xdr:col>3</xdr:col>
      <xdr:colOff>1209675</xdr:colOff>
      <xdr:row>468</xdr:row>
      <xdr:rowOff>76200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85725</xdr:colOff>
      <xdr:row>471</xdr:row>
      <xdr:rowOff>0</xdr:rowOff>
    </xdr:from>
    <xdr:to>
      <xdr:col>3</xdr:col>
      <xdr:colOff>1209675</xdr:colOff>
      <xdr:row>484</xdr:row>
      <xdr:rowOff>114300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486</xdr:row>
      <xdr:rowOff>0</xdr:rowOff>
    </xdr:from>
    <xdr:to>
      <xdr:col>3</xdr:col>
      <xdr:colOff>1238250</xdr:colOff>
      <xdr:row>500</xdr:row>
      <xdr:rowOff>76200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66675</xdr:colOff>
      <xdr:row>503</xdr:row>
      <xdr:rowOff>19049</xdr:rowOff>
    </xdr:from>
    <xdr:to>
      <xdr:col>3</xdr:col>
      <xdr:colOff>1171575</xdr:colOff>
      <xdr:row>517</xdr:row>
      <xdr:rowOff>85725</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76200</xdr:colOff>
      <xdr:row>521</xdr:row>
      <xdr:rowOff>38100</xdr:rowOff>
    </xdr:from>
    <xdr:to>
      <xdr:col>3</xdr:col>
      <xdr:colOff>1181100</xdr:colOff>
      <xdr:row>534</xdr:row>
      <xdr:rowOff>114300</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85725</xdr:colOff>
      <xdr:row>536</xdr:row>
      <xdr:rowOff>152400</xdr:rowOff>
    </xdr:from>
    <xdr:to>
      <xdr:col>3</xdr:col>
      <xdr:colOff>1162050</xdr:colOff>
      <xdr:row>552</xdr:row>
      <xdr:rowOff>114300</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66675</xdr:colOff>
      <xdr:row>554</xdr:row>
      <xdr:rowOff>171450</xdr:rowOff>
    </xdr:from>
    <xdr:to>
      <xdr:col>3</xdr:col>
      <xdr:colOff>1285875</xdr:colOff>
      <xdr:row>569</xdr:row>
      <xdr:rowOff>57150</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95250</xdr:colOff>
      <xdr:row>570</xdr:row>
      <xdr:rowOff>180975</xdr:rowOff>
    </xdr:from>
    <xdr:to>
      <xdr:col>3</xdr:col>
      <xdr:colOff>1190625</xdr:colOff>
      <xdr:row>584</xdr:row>
      <xdr:rowOff>142875</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95250</xdr:colOff>
      <xdr:row>587</xdr:row>
      <xdr:rowOff>19049</xdr:rowOff>
    </xdr:from>
    <xdr:to>
      <xdr:col>3</xdr:col>
      <xdr:colOff>1181100</xdr:colOff>
      <xdr:row>602</xdr:row>
      <xdr:rowOff>123824</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133350</xdr:colOff>
      <xdr:row>604</xdr:row>
      <xdr:rowOff>38100</xdr:rowOff>
    </xdr:from>
    <xdr:to>
      <xdr:col>3</xdr:col>
      <xdr:colOff>1133475</xdr:colOff>
      <xdr:row>618</xdr:row>
      <xdr:rowOff>47625</xdr:rowOff>
    </xdr:to>
    <xdr:graphicFrame macro="">
      <xdr:nvGraphicFramePr>
        <xdr:cNvPr id="17" name="Chart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95250</xdr:colOff>
      <xdr:row>620</xdr:row>
      <xdr:rowOff>161924</xdr:rowOff>
    </xdr:from>
    <xdr:to>
      <xdr:col>3</xdr:col>
      <xdr:colOff>1181100</xdr:colOff>
      <xdr:row>637</xdr:row>
      <xdr:rowOff>133349</xdr:rowOff>
    </xdr:to>
    <xdr:graphicFrame macro="">
      <xdr:nvGraphicFramePr>
        <xdr:cNvPr id="18" name="Chart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0</xdr:col>
      <xdr:colOff>85725</xdr:colOff>
      <xdr:row>639</xdr:row>
      <xdr:rowOff>9525</xdr:rowOff>
    </xdr:from>
    <xdr:to>
      <xdr:col>3</xdr:col>
      <xdr:colOff>1200150</xdr:colOff>
      <xdr:row>653</xdr:row>
      <xdr:rowOff>85725</xdr:rowOff>
    </xdr:to>
    <xdr:graphicFrame macro="">
      <xdr:nvGraphicFramePr>
        <xdr:cNvPr id="19" name="Chart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152400</xdr:colOff>
      <xdr:row>656</xdr:row>
      <xdr:rowOff>133350</xdr:rowOff>
    </xdr:from>
    <xdr:to>
      <xdr:col>3</xdr:col>
      <xdr:colOff>1133475</xdr:colOff>
      <xdr:row>671</xdr:row>
      <xdr:rowOff>28575</xdr:rowOff>
    </xdr:to>
    <xdr:graphicFrame macro="">
      <xdr:nvGraphicFramePr>
        <xdr:cNvPr id="20" name="Chart 1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95250</xdr:colOff>
      <xdr:row>674</xdr:row>
      <xdr:rowOff>85725</xdr:rowOff>
    </xdr:from>
    <xdr:to>
      <xdr:col>3</xdr:col>
      <xdr:colOff>1209675</xdr:colOff>
      <xdr:row>689</xdr:row>
      <xdr:rowOff>114300</xdr:rowOff>
    </xdr:to>
    <xdr:graphicFrame macro="">
      <xdr:nvGraphicFramePr>
        <xdr:cNvPr id="21" name="Chart 2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0</xdr:col>
      <xdr:colOff>95251</xdr:colOff>
      <xdr:row>691</xdr:row>
      <xdr:rowOff>9525</xdr:rowOff>
    </xdr:from>
    <xdr:to>
      <xdr:col>3</xdr:col>
      <xdr:colOff>1085851</xdr:colOff>
      <xdr:row>705</xdr:row>
      <xdr:rowOff>85725</xdr:rowOff>
    </xdr:to>
    <xdr:graphicFrame macro="">
      <xdr:nvGraphicFramePr>
        <xdr:cNvPr id="22" name="Chart 2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0</xdr:col>
      <xdr:colOff>104775</xdr:colOff>
      <xdr:row>707</xdr:row>
      <xdr:rowOff>104775</xdr:rowOff>
    </xdr:from>
    <xdr:to>
      <xdr:col>3</xdr:col>
      <xdr:colOff>1181100</xdr:colOff>
      <xdr:row>722</xdr:row>
      <xdr:rowOff>161925</xdr:rowOff>
    </xdr:to>
    <xdr:graphicFrame macro="">
      <xdr:nvGraphicFramePr>
        <xdr:cNvPr id="23" name="Chart 2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0</xdr:col>
      <xdr:colOff>200025</xdr:colOff>
      <xdr:row>725</xdr:row>
      <xdr:rowOff>0</xdr:rowOff>
    </xdr:from>
    <xdr:to>
      <xdr:col>3</xdr:col>
      <xdr:colOff>1266825</xdr:colOff>
      <xdr:row>739</xdr:row>
      <xdr:rowOff>76200</xdr:rowOff>
    </xdr:to>
    <xdr:graphicFrame macro="">
      <xdr:nvGraphicFramePr>
        <xdr:cNvPr id="24" name="Chart 2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0</xdr:col>
      <xdr:colOff>0</xdr:colOff>
      <xdr:row>740</xdr:row>
      <xdr:rowOff>114299</xdr:rowOff>
    </xdr:from>
    <xdr:to>
      <xdr:col>3</xdr:col>
      <xdr:colOff>1228725</xdr:colOff>
      <xdr:row>754</xdr:row>
      <xdr:rowOff>161924</xdr:rowOff>
    </xdr:to>
    <xdr:graphicFrame macro="">
      <xdr:nvGraphicFramePr>
        <xdr:cNvPr id="25" name="Chart 2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0</xdr:col>
      <xdr:colOff>0</xdr:colOff>
      <xdr:row>756</xdr:row>
      <xdr:rowOff>0</xdr:rowOff>
    </xdr:from>
    <xdr:to>
      <xdr:col>3</xdr:col>
      <xdr:colOff>1181100</xdr:colOff>
      <xdr:row>773</xdr:row>
      <xdr:rowOff>0</xdr:rowOff>
    </xdr:to>
    <xdr:graphicFrame macro="">
      <xdr:nvGraphicFramePr>
        <xdr:cNvPr id="26" name="Chart 2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0</xdr:col>
      <xdr:colOff>114300</xdr:colOff>
      <xdr:row>775</xdr:row>
      <xdr:rowOff>19049</xdr:rowOff>
    </xdr:from>
    <xdr:to>
      <xdr:col>3</xdr:col>
      <xdr:colOff>1200150</xdr:colOff>
      <xdr:row>789</xdr:row>
      <xdr:rowOff>9524</xdr:rowOff>
    </xdr:to>
    <xdr:graphicFrame macro="">
      <xdr:nvGraphicFramePr>
        <xdr:cNvPr id="27" name="Chart 2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0</xdr:col>
      <xdr:colOff>123825</xdr:colOff>
      <xdr:row>790</xdr:row>
      <xdr:rowOff>47624</xdr:rowOff>
    </xdr:from>
    <xdr:to>
      <xdr:col>3</xdr:col>
      <xdr:colOff>1238250</xdr:colOff>
      <xdr:row>804</xdr:row>
      <xdr:rowOff>95249</xdr:rowOff>
    </xdr:to>
    <xdr:graphicFrame macro="">
      <xdr:nvGraphicFramePr>
        <xdr:cNvPr id="28" name="Chart 2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0</xdr:col>
      <xdr:colOff>85725</xdr:colOff>
      <xdr:row>806</xdr:row>
      <xdr:rowOff>9525</xdr:rowOff>
    </xdr:from>
    <xdr:to>
      <xdr:col>3</xdr:col>
      <xdr:colOff>1095375</xdr:colOff>
      <xdr:row>822</xdr:row>
      <xdr:rowOff>142875</xdr:rowOff>
    </xdr:to>
    <xdr:graphicFrame macro="">
      <xdr:nvGraphicFramePr>
        <xdr:cNvPr id="29" name="Chart 2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0</xdr:col>
      <xdr:colOff>104775</xdr:colOff>
      <xdr:row>825</xdr:row>
      <xdr:rowOff>38100</xdr:rowOff>
    </xdr:from>
    <xdr:to>
      <xdr:col>3</xdr:col>
      <xdr:colOff>1114425</xdr:colOff>
      <xdr:row>839</xdr:row>
      <xdr:rowOff>152400</xdr:rowOff>
    </xdr:to>
    <xdr:graphicFrame macro="">
      <xdr:nvGraphicFramePr>
        <xdr:cNvPr id="30" name="Chart 2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0</xdr:col>
      <xdr:colOff>85725</xdr:colOff>
      <xdr:row>841</xdr:row>
      <xdr:rowOff>28575</xdr:rowOff>
    </xdr:from>
    <xdr:to>
      <xdr:col>3</xdr:col>
      <xdr:colOff>1123950</xdr:colOff>
      <xdr:row>853</xdr:row>
      <xdr:rowOff>123825</xdr:rowOff>
    </xdr:to>
    <xdr:graphicFrame macro="">
      <xdr:nvGraphicFramePr>
        <xdr:cNvPr id="31" name="Chart 3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0</xdr:col>
      <xdr:colOff>104775</xdr:colOff>
      <xdr:row>855</xdr:row>
      <xdr:rowOff>152400</xdr:rowOff>
    </xdr:from>
    <xdr:to>
      <xdr:col>3</xdr:col>
      <xdr:colOff>1181100</xdr:colOff>
      <xdr:row>870</xdr:row>
      <xdr:rowOff>38100</xdr:rowOff>
    </xdr:to>
    <xdr:graphicFrame macro="">
      <xdr:nvGraphicFramePr>
        <xdr:cNvPr id="32" name="Chart 3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0</xdr:col>
      <xdr:colOff>85725</xdr:colOff>
      <xdr:row>875</xdr:row>
      <xdr:rowOff>19050</xdr:rowOff>
    </xdr:from>
    <xdr:to>
      <xdr:col>3</xdr:col>
      <xdr:colOff>1181100</xdr:colOff>
      <xdr:row>888</xdr:row>
      <xdr:rowOff>123825</xdr:rowOff>
    </xdr:to>
    <xdr:graphicFrame macro="">
      <xdr:nvGraphicFramePr>
        <xdr:cNvPr id="33" name="Chart 3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0</xdr:col>
      <xdr:colOff>152400</xdr:colOff>
      <xdr:row>890</xdr:row>
      <xdr:rowOff>0</xdr:rowOff>
    </xdr:from>
    <xdr:to>
      <xdr:col>3</xdr:col>
      <xdr:colOff>1219200</xdr:colOff>
      <xdr:row>904</xdr:row>
      <xdr:rowOff>76200</xdr:rowOff>
    </xdr:to>
    <xdr:graphicFrame macro="">
      <xdr:nvGraphicFramePr>
        <xdr:cNvPr id="34" name="Chart 3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0</xdr:col>
      <xdr:colOff>104775</xdr:colOff>
      <xdr:row>906</xdr:row>
      <xdr:rowOff>0</xdr:rowOff>
    </xdr:from>
    <xdr:to>
      <xdr:col>3</xdr:col>
      <xdr:colOff>1209675</xdr:colOff>
      <xdr:row>920</xdr:row>
      <xdr:rowOff>76200</xdr:rowOff>
    </xdr:to>
    <xdr:graphicFrame macro="">
      <xdr:nvGraphicFramePr>
        <xdr:cNvPr id="35" name="Chart 3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wsDr>
</file>

<file path=xl/tables/table1.xml><?xml version="1.0" encoding="utf-8"?>
<table xmlns="http://schemas.openxmlformats.org/spreadsheetml/2006/main" id="1" name="Table1" displayName="Table1" ref="B5:BS15" totalsRowShown="0" dataDxfId="141">
  <autoFilter ref="B5:BS15"/>
  <tableColumns count="70">
    <tableColumn id="1" name="Quest1" dataDxfId="140"/>
    <tableColumn id="2" name="Quest2" dataDxfId="139"/>
    <tableColumn id="3" name="Quest3" dataDxfId="138"/>
    <tableColumn id="4" name="Quest4" dataDxfId="137"/>
    <tableColumn id="5" name="Quest5" dataDxfId="136"/>
    <tableColumn id="6" name="Quest6" dataDxfId="135"/>
    <tableColumn id="7" name="Quest7" dataDxfId="134"/>
    <tableColumn id="8" name="Quest8" dataDxfId="133"/>
    <tableColumn id="9" name="Quest9" dataDxfId="132"/>
    <tableColumn id="10" name="Quest10" dataDxfId="131"/>
    <tableColumn id="11" name="Quest11" dataDxfId="130"/>
    <tableColumn id="12" name="Quest12" dataDxfId="129"/>
    <tableColumn id="13" name="Quest13" dataDxfId="128"/>
    <tableColumn id="14" name="Quest14" dataDxfId="127"/>
    <tableColumn id="15" name="Quest15" dataDxfId="126"/>
    <tableColumn id="16" name="Quest16" dataDxfId="125"/>
    <tableColumn id="17" name="Quest17" dataDxfId="124"/>
    <tableColumn id="18" name="Quest18" dataDxfId="123"/>
    <tableColumn id="19" name="Quest19" dataDxfId="122"/>
    <tableColumn id="20" name="Quest20" dataDxfId="121"/>
    <tableColumn id="21" name="Quest21" dataDxfId="120"/>
    <tableColumn id="22" name="Quest22" dataDxfId="119"/>
    <tableColumn id="23" name="Quest23" dataDxfId="118"/>
    <tableColumn id="24" name="Quest24" dataDxfId="117"/>
    <tableColumn id="25" name="Quest25" dataDxfId="116"/>
    <tableColumn id="26" name="Quest26" dataDxfId="115"/>
    <tableColumn id="27" name="Quest27" dataDxfId="114"/>
    <tableColumn id="28" name="Quest28" dataDxfId="113"/>
    <tableColumn id="29" name="Quest29" dataDxfId="112"/>
    <tableColumn id="30" name="Quest30" dataDxfId="111"/>
    <tableColumn id="31" name="Quest31" dataDxfId="110"/>
    <tableColumn id="32" name="Quest32" dataDxfId="109"/>
    <tableColumn id="33" name="Quest33" dataDxfId="108"/>
    <tableColumn id="34" name="Quest34" dataDxfId="107"/>
    <tableColumn id="35" name="Quest35" dataDxfId="106"/>
    <tableColumn id="36" name="Quest36" dataDxfId="105"/>
    <tableColumn id="37" name="Quest37" dataDxfId="104"/>
    <tableColumn id="38" name="Quest38" dataDxfId="103"/>
    <tableColumn id="39" name="Quest39" dataDxfId="102"/>
    <tableColumn id="40" name="Quest40" dataDxfId="101"/>
    <tableColumn id="41" name="Quest41" dataDxfId="100"/>
    <tableColumn id="42" name="Quest42" dataDxfId="99"/>
    <tableColumn id="43" name="Quest43" dataDxfId="98"/>
    <tableColumn id="44" name="Quest44" dataDxfId="97"/>
    <tableColumn id="45" name="Quest45" dataDxfId="96"/>
    <tableColumn id="46" name="Quest46" dataDxfId="95"/>
    <tableColumn id="47" name="Quest47" dataDxfId="94"/>
    <tableColumn id="48" name="Quest48" dataDxfId="93"/>
    <tableColumn id="49" name="Quest49" dataDxfId="92"/>
    <tableColumn id="50" name="Quest50" dataDxfId="91"/>
    <tableColumn id="51" name="Quest51" dataDxfId="90"/>
    <tableColumn id="52" name="Quest52" dataDxfId="89"/>
    <tableColumn id="53" name="Quest53" dataDxfId="88"/>
    <tableColumn id="54" name="Quest54" dataDxfId="87"/>
    <tableColumn id="55" name="Quest55" dataDxfId="86"/>
    <tableColumn id="56" name="Quest56" dataDxfId="85"/>
    <tableColumn id="57" name="Quest57" dataDxfId="84"/>
    <tableColumn id="58" name="Quest58" dataDxfId="83"/>
    <tableColumn id="59" name="Quest59" dataDxfId="82"/>
    <tableColumn id="60" name="Quest60" dataDxfId="81"/>
    <tableColumn id="61" name="Quest61" dataDxfId="80"/>
    <tableColumn id="62" name="Quest62" dataDxfId="79"/>
    <tableColumn id="63" name="Quest63" dataDxfId="78"/>
    <tableColumn id="64" name="Quest64" dataDxfId="77"/>
    <tableColumn id="65" name="Quest65" dataDxfId="76"/>
    <tableColumn id="66" name="Quest66" dataDxfId="75"/>
    <tableColumn id="67" name="Quest67" dataDxfId="74"/>
    <tableColumn id="68" name="Quest68" dataDxfId="73"/>
    <tableColumn id="69" name="Quest69" dataDxfId="72"/>
    <tableColumn id="70" name="Quest70" dataDxfId="71"/>
  </tableColumns>
  <tableStyleInfo name="TableStyleMedium9" showFirstColumn="0" showLastColumn="0" showRowStripes="1" showColumnStripes="0"/>
</table>
</file>

<file path=xl/tables/table2.xml><?xml version="1.0" encoding="utf-8"?>
<table xmlns="http://schemas.openxmlformats.org/spreadsheetml/2006/main" id="2" name="Table2" displayName="Table2" ref="A9:BS230" totalsRowShown="0" headerRowDxfId="70">
  <autoFilter ref="A9:BS230"/>
  <tableColumns count="71">
    <tableColumn id="1" name="Survey No"/>
    <tableColumn id="2" name="Your gender. Are you?" dataDxfId="69"/>
    <tableColumn id="3" name="What is your age category?" dataDxfId="68"/>
    <tableColumn id="4" name="Do you hold any of the following cards?" dataDxfId="67"/>
    <tableColumn id="5" name="Please state which of the following applies to you?" dataDxfId="66"/>
    <tableColumn id="6" name="Please tell us your country of origin." dataDxfId="65"/>
    <tableColumn id="7" name="Which of the following primary care team services did you attend today?" dataDxfId="64"/>
    <tableColumn id="8" name="Please tell us about your experience accessing the service today?" dataDxfId="63"/>
    <tableColumn id="9" name="Where did your appointment take place?" dataDxfId="62"/>
    <tableColumn id="10" name="Tell us about the suitability of your appointment time?" dataDxfId="61"/>
    <tableColumn id="11" name="How easy was it for you to access and use the building during your visit?" dataDxfId="60"/>
    <tableColumn id="12" name="Were the buildings and facilities clean and tidy?" dataDxfId="59"/>
    <tableColumn id="13" name="How long did you spend waiting to see the healthcare professional today?" dataDxfId="58"/>
    <tableColumn id="14" name="Did the healthcare professional wash or clean their hands when coming into contact with you?" dataDxfId="57"/>
    <tableColumn id="15" name="Did the healthcare professional introduce themselves to you?" dataDxfId="56"/>
    <tableColumn id="16" name="Were you treated with kindness and respect during your visit?" dataDxfId="55"/>
    <tableColumn id="17" name="Were you satisfied with the level of privacy provided to you during your appointment?" dataDxfId="54"/>
    <tableColumn id="18" name="Was it explained to you that, if relevant to your overall care, we may need to share information_x000a_about you with other members of the Primary Care Team?" dataDxfId="53"/>
    <tableColumn id="19" name="Was the advice and information provided by the healthcare professional during your_x000a_appointment today easy to understand?" dataDxfId="52"/>
    <tableColumn id="20" name="Did you have enough time during your appointment to ask questions and discuss your health_x000a_problems and concerns?" dataDxfId="51"/>
    <tableColumn id="21" name="Were you involved in making decisions about your care and treatment?" dataDxfId="50"/>
    <tableColumn id="22" name="Did you receive information or advice on Quitting smoking during your visit today?" dataDxfId="49"/>
    <tableColumn id="23" name="Did you receive information or advice on Losing weight during your visit today?" dataDxfId="48"/>
    <tableColumn id="24" name="Did you receive information or advice on Nutrition and healthy eating during your visit today?" dataDxfId="47"/>
    <tableColumn id="25" name="Did you receive information or advice on Physical activity during your visit today?" dataDxfId="46"/>
    <tableColumn id="26" name="Did you receive information or advice on Alcohol use during your visit today?" dataDxfId="45"/>
    <tableColumn id="27" name="Did you receive information or advice on Mental health and wellbeing during your visit today?" dataDxfId="44"/>
    <tableColumn id="28" name="Did you receive information or advice on Dementia during your visit today?" dataDxfId="43"/>
    <tableColumn id="29" name="Did you receive information or advice on Falls prevention during your visit today?" dataDxfId="42"/>
    <tableColumn id="30" name="Did you receive information or advice on Drug use during your visit today?" dataDxfId="41"/>
    <tableColumn id="31" name="Did you receive other information or advice during your visit today?" dataDxfId="40"/>
    <tableColumn id="32" name="Are there other areas that you would appreciate information or advice on?" dataDxfId="39"/>
    <tableColumn id="33" name="Overall, how would you rate your experience of your appointment today? Please circle one." dataDxfId="38"/>
    <tableColumn id="34" name="Are you aware of The National Healthcare Charter, ‘You and Your Health Service’:" dataDxfId="37"/>
    <tableColumn id="35" name="Are you aware of ‘Your Service Your Say’ (HSE Complaints Process):" dataDxfId="36"/>
    <tableColumn id="36" name="Column35" dataDxfId="35"/>
    <tableColumn id="37" name="Column36" dataDxfId="34"/>
    <tableColumn id="38" name="Column37" dataDxfId="33"/>
    <tableColumn id="39" name="Question38" dataDxfId="32"/>
    <tableColumn id="40" name="Question39" dataDxfId="31"/>
    <tableColumn id="41" name="Question40" dataDxfId="30"/>
    <tableColumn id="42" name="Question41" dataDxfId="29"/>
    <tableColumn id="43" name="Question42" dataDxfId="28"/>
    <tableColumn id="44" name="Question43" dataDxfId="27"/>
    <tableColumn id="45" name="Question44" dataDxfId="26"/>
    <tableColumn id="46" name="Question45" dataDxfId="25"/>
    <tableColumn id="47" name="Question46" dataDxfId="24"/>
    <tableColumn id="48" name="Question47" dataDxfId="23"/>
    <tableColumn id="49" name="Question48" dataDxfId="22"/>
    <tableColumn id="50" name="Question49" dataDxfId="21"/>
    <tableColumn id="51" name="Question50" dataDxfId="20"/>
    <tableColumn id="52" name="Question51" dataDxfId="19"/>
    <tableColumn id="53" name="Question52" dataDxfId="18"/>
    <tableColumn id="54" name="Question53" dataDxfId="17"/>
    <tableColumn id="55" name="Question54" dataDxfId="16"/>
    <tableColumn id="56" name="Question55" dataDxfId="15"/>
    <tableColumn id="57" name="Question56" dataDxfId="14"/>
    <tableColumn id="58" name="Question57" dataDxfId="13"/>
    <tableColumn id="59" name="Question58" dataDxfId="12"/>
    <tableColumn id="60" name="Question59" dataDxfId="11"/>
    <tableColumn id="61" name="Question60" dataDxfId="10"/>
    <tableColumn id="62" name="Question61" dataDxfId="9"/>
    <tableColumn id="63" name="Question62" dataDxfId="8"/>
    <tableColumn id="64" name="Question63" dataDxfId="7"/>
    <tableColumn id="65" name="Question64" dataDxfId="6"/>
    <tableColumn id="66" name="Question65" dataDxfId="5"/>
    <tableColumn id="67" name="Question66" dataDxfId="4"/>
    <tableColumn id="68" name="Question67" dataDxfId="3"/>
    <tableColumn id="69" name="Question68" dataDxfId="2"/>
    <tableColumn id="70" name="Question69" dataDxfId="1"/>
    <tableColumn id="71" name="Question70"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2:A44"/>
  <sheetViews>
    <sheetView topLeftCell="A3" workbookViewId="0">
      <selection activeCell="A28" sqref="A28"/>
    </sheetView>
  </sheetViews>
  <sheetFormatPr defaultRowHeight="15"/>
  <cols>
    <col min="1" max="1" width="92.7109375" style="1" customWidth="1"/>
  </cols>
  <sheetData>
    <row r="2" spans="1:1">
      <c r="A2" s="9" t="s">
        <v>269</v>
      </c>
    </row>
    <row r="3" spans="1:1">
      <c r="A3" s="9" t="s">
        <v>264</v>
      </c>
    </row>
    <row r="4" spans="1:1">
      <c r="A4" s="9" t="s">
        <v>265</v>
      </c>
    </row>
    <row r="5" spans="1:1">
      <c r="A5" s="9" t="s">
        <v>266</v>
      </c>
    </row>
    <row r="6" spans="1:1">
      <c r="A6" s="9" t="s">
        <v>267</v>
      </c>
    </row>
    <row r="7" spans="1:1">
      <c r="A7" s="9" t="s">
        <v>81</v>
      </c>
    </row>
    <row r="9" spans="1:1" ht="39">
      <c r="A9" s="9" t="s">
        <v>291</v>
      </c>
    </row>
    <row r="10" spans="1:1" ht="39">
      <c r="A10" s="9" t="s">
        <v>268</v>
      </c>
    </row>
    <row r="11" spans="1:1" ht="39">
      <c r="A11" s="9" t="s">
        <v>82</v>
      </c>
    </row>
    <row r="13" spans="1:1">
      <c r="A13" s="9"/>
    </row>
    <row r="14" spans="1:1" ht="39">
      <c r="A14" s="9" t="s">
        <v>285</v>
      </c>
    </row>
    <row r="15" spans="1:1" ht="26.25">
      <c r="A15" s="9" t="s">
        <v>284</v>
      </c>
    </row>
    <row r="16" spans="1:1" ht="39">
      <c r="A16" s="9" t="s">
        <v>286</v>
      </c>
    </row>
    <row r="17" spans="1:1">
      <c r="A17" s="9"/>
    </row>
    <row r="18" spans="1:1">
      <c r="A18" s="9" t="s">
        <v>273</v>
      </c>
    </row>
    <row r="19" spans="1:1" ht="26.25">
      <c r="A19" s="9" t="s">
        <v>274</v>
      </c>
    </row>
    <row r="20" spans="1:1">
      <c r="A20" s="9"/>
    </row>
    <row r="21" spans="1:1">
      <c r="A21" s="9" t="s">
        <v>275</v>
      </c>
    </row>
    <row r="22" spans="1:1">
      <c r="A22" s="9" t="s">
        <v>276</v>
      </c>
    </row>
    <row r="23" spans="1:1">
      <c r="A23" s="9"/>
    </row>
    <row r="24" spans="1:1">
      <c r="A24" s="9" t="s">
        <v>278</v>
      </c>
    </row>
    <row r="25" spans="1:1" ht="39">
      <c r="A25" s="9" t="s">
        <v>279</v>
      </c>
    </row>
    <row r="26" spans="1:1">
      <c r="A26" s="9"/>
    </row>
    <row r="27" spans="1:1">
      <c r="A27" s="9" t="s">
        <v>281</v>
      </c>
    </row>
    <row r="28" spans="1:1" ht="39">
      <c r="A28" s="9" t="s">
        <v>282</v>
      </c>
    </row>
    <row r="29" spans="1:1">
      <c r="A29" s="9"/>
    </row>
    <row r="30" spans="1:1">
      <c r="A30" s="9" t="s">
        <v>292</v>
      </c>
    </row>
    <row r="31" spans="1:1">
      <c r="A31" s="9" t="s">
        <v>293</v>
      </c>
    </row>
    <row r="32" spans="1:1">
      <c r="A32" s="9"/>
    </row>
    <row r="33" spans="1:1">
      <c r="A33" s="9" t="s">
        <v>294</v>
      </c>
    </row>
    <row r="34" spans="1:1" ht="26.25">
      <c r="A34" s="9" t="s">
        <v>295</v>
      </c>
    </row>
    <row r="35" spans="1:1">
      <c r="A35" s="9"/>
    </row>
    <row r="36" spans="1:1" ht="39">
      <c r="A36" s="9" t="s">
        <v>296</v>
      </c>
    </row>
    <row r="37" spans="1:1">
      <c r="A37" s="9" t="s">
        <v>297</v>
      </c>
    </row>
    <row r="38" spans="1:1">
      <c r="A38" s="9"/>
    </row>
    <row r="39" spans="1:1">
      <c r="A39" s="9" t="s">
        <v>298</v>
      </c>
    </row>
    <row r="40" spans="1:1" ht="51.75">
      <c r="A40" s="9" t="s">
        <v>299</v>
      </c>
    </row>
    <row r="41" spans="1:1">
      <c r="A41" s="9"/>
    </row>
    <row r="42" spans="1:1">
      <c r="A42" s="9"/>
    </row>
    <row r="43" spans="1:1" ht="128.25">
      <c r="A43" s="9" t="s">
        <v>332</v>
      </c>
    </row>
    <row r="44" spans="1:1">
      <c r="A44" s="9"/>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H922"/>
  <sheetViews>
    <sheetView tabSelected="1" topLeftCell="A105" zoomScaleNormal="100" workbookViewId="0">
      <selection activeCell="B105" sqref="B105:D108"/>
    </sheetView>
  </sheetViews>
  <sheetFormatPr defaultRowHeight="15"/>
  <cols>
    <col min="1" max="1" width="25.7109375" style="26" customWidth="1"/>
    <col min="2" max="2" width="19.7109375" style="24" customWidth="1"/>
    <col min="3" max="4" width="19.7109375" style="27" customWidth="1"/>
    <col min="5" max="16384" width="9.140625" style="24"/>
  </cols>
  <sheetData>
    <row r="1" spans="1:4">
      <c r="A1" s="56" t="str">
        <f>'Survey Tool'!A1:C1</f>
        <v>Survey of Patient Experience 2017</v>
      </c>
      <c r="B1" s="56"/>
      <c r="C1" s="56"/>
      <c r="D1" s="57"/>
    </row>
    <row r="2" spans="1:4">
      <c r="A2" s="14" t="str">
        <f>'Survey Tool'!A2</f>
        <v>CHO Area</v>
      </c>
      <c r="B2" s="53">
        <f>'Survey Tool'!B2:C2</f>
        <v>0</v>
      </c>
      <c r="C2" s="53"/>
      <c r="D2" s="51"/>
    </row>
    <row r="3" spans="1:4">
      <c r="A3" s="14" t="str">
        <f>'Survey Tool'!A3</f>
        <v>Primary Care Centre</v>
      </c>
      <c r="B3" s="53">
        <f>'Survey Tool'!B3:C3</f>
        <v>0</v>
      </c>
      <c r="C3" s="53"/>
      <c r="D3" s="51"/>
    </row>
    <row r="4" spans="1:4">
      <c r="A4" s="14" t="str">
        <f>'Survey Tool'!A4</f>
        <v>Data Entry by</v>
      </c>
      <c r="B4" s="53">
        <f>'Survey Tool'!B4:C4</f>
        <v>0</v>
      </c>
      <c r="C4" s="53"/>
      <c r="D4" s="51"/>
    </row>
    <row r="5" spans="1:4">
      <c r="A5" s="14" t="str">
        <f>'Survey Tool'!A5</f>
        <v>Date of Survey</v>
      </c>
      <c r="B5" s="53">
        <f>'Survey Tool'!B5:C5</f>
        <v>0</v>
      </c>
      <c r="C5" s="53"/>
      <c r="D5" s="51"/>
    </row>
    <row r="6" spans="1:4">
      <c r="A6" s="14" t="str">
        <f>'Survey Tool'!A6</f>
        <v>No in Survey</v>
      </c>
      <c r="B6" s="53">
        <f>'Survey Tool'!B6:C6</f>
        <v>0</v>
      </c>
      <c r="C6" s="53"/>
      <c r="D6" s="51"/>
    </row>
    <row r="7" spans="1:4">
      <c r="A7" s="25" t="s">
        <v>225</v>
      </c>
      <c r="B7" s="60" t="s">
        <v>158</v>
      </c>
      <c r="C7" s="60"/>
      <c r="D7" s="61"/>
    </row>
    <row r="8" spans="1:4" ht="30">
      <c r="A8" s="14" t="s">
        <v>79</v>
      </c>
      <c r="B8" s="53">
        <f>COUNTIF(Table2[Which of the following primary care team services did you attend today?],Condition_1)</f>
        <v>0</v>
      </c>
      <c r="C8" s="53"/>
      <c r="D8" s="51"/>
    </row>
    <row r="9" spans="1:4">
      <c r="A9" s="18"/>
      <c r="B9" s="13"/>
      <c r="C9" s="22"/>
      <c r="D9" s="22"/>
    </row>
    <row r="10" spans="1:4">
      <c r="A10" s="53" t="str">
        <f>'Validation List'!B3</f>
        <v>Gender</v>
      </c>
      <c r="B10" s="53"/>
      <c r="C10" s="53"/>
      <c r="D10" s="51"/>
    </row>
    <row r="11" spans="1:4">
      <c r="A11" s="15"/>
      <c r="B11" s="16" t="s">
        <v>37</v>
      </c>
      <c r="C11" s="17" t="s">
        <v>38</v>
      </c>
      <c r="D11" s="17" t="s">
        <v>42</v>
      </c>
    </row>
    <row r="12" spans="1:4">
      <c r="A12" s="15" t="str">
        <f>'Validation List'!B6</f>
        <v>Male</v>
      </c>
      <c r="B12" s="16">
        <f>COUNTIFS(Table2[Which of the following primary care team services did you attend today?],Condition_1,Table2[Your gender. Are you?],A12)</f>
        <v>0</v>
      </c>
      <c r="C12" s="17" t="e">
        <f>B12/'Search by PCT'!No_who_answered_survey*100</f>
        <v>#DIV/0!</v>
      </c>
      <c r="D12" s="17" t="e">
        <f>B12/(No_who_answered_survey-COUNTIFS(Table2[Which of the following primary care team services did you attend today?],Condition_1,Table2[Your gender. Are you?],"Not answered"))*100</f>
        <v>#DIV/0!</v>
      </c>
    </row>
    <row r="13" spans="1:4">
      <c r="A13" s="15" t="str">
        <f>'Validation List'!B7</f>
        <v>Female</v>
      </c>
      <c r="B13" s="16">
        <f>COUNTIFS(Table2[Which of the following primary care team services did you attend today?],Condition_1,Table2[Your gender. Are you?],A13)</f>
        <v>0</v>
      </c>
      <c r="C13" s="17" t="e">
        <f>B13/'Search by PCT'!No_who_answered_survey*100</f>
        <v>#DIV/0!</v>
      </c>
      <c r="D13" s="17" t="e">
        <f>B13/(No_who_answered_survey-COUNTIFS(Table2[Which of the following primary care team services did you attend today?],Condition_1,Table2[Your gender. Are you?],"Not answered"))*100</f>
        <v>#DIV/0!</v>
      </c>
    </row>
    <row r="14" spans="1:4">
      <c r="A14" s="15" t="str">
        <f>'Validation List'!B8</f>
        <v>Other</v>
      </c>
      <c r="B14" s="16">
        <f>COUNTIFS(Table2[Which of the following primary care team services did you attend today?],Condition_1,Table2[Your gender. Are you?],A14)</f>
        <v>0</v>
      </c>
      <c r="C14" s="17" t="e">
        <f>B14/'Search by PCT'!No_who_answered_survey*100</f>
        <v>#DIV/0!</v>
      </c>
      <c r="D14" s="17" t="e">
        <f>B14/(No_who_answered_survey-COUNTIFS(Table2[Which of the following primary care team services did you attend today?],Condition_1,Table2[Your gender. Are you?],"Not answered"))*100</f>
        <v>#DIV/0!</v>
      </c>
    </row>
    <row r="15" spans="1:4" ht="15" customHeight="1">
      <c r="A15" s="15" t="str">
        <f>'Validation List'!B15</f>
        <v>Not answered</v>
      </c>
      <c r="B15" s="16">
        <f>COUNTIFS(Table2[Which of the following primary care team services did you attend today?],Condition_1,Table2[Your gender. Are you?],A15)</f>
        <v>0</v>
      </c>
      <c r="C15" s="17" t="e">
        <f>B15/'Search by PCT'!No_who_answered_survey*100</f>
        <v>#DIV/0!</v>
      </c>
      <c r="D15" s="17"/>
    </row>
    <row r="16" spans="1:4">
      <c r="A16" s="15" t="s">
        <v>39</v>
      </c>
      <c r="B16" s="16">
        <f>SUM(B12:B15)</f>
        <v>0</v>
      </c>
      <c r="C16" s="17" t="e">
        <f>SUM(C12:C15)</f>
        <v>#DIV/0!</v>
      </c>
      <c r="D16" s="17" t="e">
        <f>SUM(D12:D15)</f>
        <v>#DIV/0!</v>
      </c>
    </row>
    <row r="17" spans="1:4">
      <c r="A17" s="18"/>
      <c r="B17" s="13"/>
      <c r="C17" s="22"/>
      <c r="D17" s="22"/>
    </row>
    <row r="18" spans="1:4">
      <c r="A18" s="18"/>
      <c r="B18" s="13"/>
      <c r="C18" s="22"/>
      <c r="D18" s="22"/>
    </row>
    <row r="19" spans="1:4">
      <c r="A19" s="54" t="str">
        <f>'Validation List'!C3</f>
        <v>Age category</v>
      </c>
      <c r="B19" s="55"/>
      <c r="C19" s="55"/>
      <c r="D19" s="49"/>
    </row>
    <row r="20" spans="1:4">
      <c r="A20" s="15"/>
      <c r="B20" s="16" t="s">
        <v>37</v>
      </c>
      <c r="C20" s="17" t="s">
        <v>38</v>
      </c>
      <c r="D20" s="17" t="s">
        <v>42</v>
      </c>
    </row>
    <row r="21" spans="1:4" ht="30" customHeight="1">
      <c r="A21" s="15" t="str">
        <f>'Validation List'!C6</f>
        <v>Under 18 years of age</v>
      </c>
      <c r="B21" s="16">
        <f>COUNTIFS(Table2[Which of the following primary care team services did you attend today?],Condition_1,Table2[What is your age category?],A21)</f>
        <v>0</v>
      </c>
      <c r="C21" s="17" t="e">
        <f t="shared" ref="C21:C27" si="0">B21/No_who_answered_survey*100</f>
        <v>#DIV/0!</v>
      </c>
      <c r="D21" s="17" t="e">
        <f>B21/(No_who_answered_survey-COUNTIFS(Table2[Which of the following primary care team services did you attend today?],Condition_1,Table2[What is your age category?],"Not answered"))*100</f>
        <v>#DIV/0!</v>
      </c>
    </row>
    <row r="22" spans="1:4" ht="30" customHeight="1">
      <c r="A22" s="15" t="str">
        <f>'Validation List'!C7</f>
        <v>18-24yrs</v>
      </c>
      <c r="B22" s="16">
        <f>COUNTIFS(Table2[Which of the following primary care team services did you attend today?],Condition_1,Table2[What is your age category?],A22)</f>
        <v>0</v>
      </c>
      <c r="C22" s="17" t="e">
        <f t="shared" si="0"/>
        <v>#DIV/0!</v>
      </c>
      <c r="D22" s="17" t="e">
        <f>B22/(No_who_answered_survey-COUNTIFS(Table2[Which of the following primary care team services did you attend today?],Condition_1,Table2[What is your age category?],"Not answered"))*100</f>
        <v>#DIV/0!</v>
      </c>
    </row>
    <row r="23" spans="1:4" ht="30" customHeight="1">
      <c r="A23" s="15" t="str">
        <f>'Validation List'!C8</f>
        <v>25-44yrs</v>
      </c>
      <c r="B23" s="16">
        <f>COUNTIFS(Table2[Which of the following primary care team services did you attend today?],Condition_1,Table2[What is your age category?],A23)</f>
        <v>0</v>
      </c>
      <c r="C23" s="17" t="e">
        <f t="shared" si="0"/>
        <v>#DIV/0!</v>
      </c>
      <c r="D23" s="17" t="e">
        <f>B23/(No_who_answered_survey-COUNTIFS(Table2[Which of the following primary care team services did you attend today?],Condition_1,Table2[What is your age category?],"Not answered"))*100</f>
        <v>#DIV/0!</v>
      </c>
    </row>
    <row r="24" spans="1:4">
      <c r="A24" s="15" t="str">
        <f>'Validation List'!C9</f>
        <v>45-64yrs</v>
      </c>
      <c r="B24" s="16">
        <f>COUNTIFS(Table2[Which of the following primary care team services did you attend today?],Condition_1,Table2[What is your age category?],A24)</f>
        <v>0</v>
      </c>
      <c r="C24" s="17" t="e">
        <f t="shared" si="0"/>
        <v>#DIV/0!</v>
      </c>
      <c r="D24" s="17" t="e">
        <f>B24/(No_who_answered_survey-COUNTIFS(Table2[Which of the following primary care team services did you attend today?],Condition_1,Table2[What is your age category?],"Not answered"))*100</f>
        <v>#DIV/0!</v>
      </c>
    </row>
    <row r="25" spans="1:4">
      <c r="A25" s="15" t="str">
        <f>'Validation List'!C10</f>
        <v>65-74yrs</v>
      </c>
      <c r="B25" s="16">
        <f>COUNTIFS(Table2[Which of the following primary care team services did you attend today?],Condition_1,Table2[What is your age category?],A25)</f>
        <v>0</v>
      </c>
      <c r="C25" s="17" t="e">
        <f t="shared" si="0"/>
        <v>#DIV/0!</v>
      </c>
      <c r="D25" s="17" t="e">
        <f>B25/(No_who_answered_survey-COUNTIFS(Table2[Which of the following primary care team services did you attend today?],Condition_1,Table2[What is your age category?],"Not answered"))*100</f>
        <v>#DIV/0!</v>
      </c>
    </row>
    <row r="26" spans="1:4">
      <c r="A26" s="15" t="str">
        <f>'Validation List'!C11</f>
        <v>75 years +</v>
      </c>
      <c r="B26" s="16">
        <f>COUNTIFS(Table2[Which of the following primary care team services did you attend today?],Condition_1,Table2[What is your age category?],A26)</f>
        <v>0</v>
      </c>
      <c r="C26" s="17" t="e">
        <f t="shared" si="0"/>
        <v>#DIV/0!</v>
      </c>
      <c r="D26" s="17" t="e">
        <f>B26/(No_who_answered_survey-COUNTIFS(Table2[Which of the following primary care team services did you attend today?],Condition_1,Table2[What is your age category?],"Not answered"))*100</f>
        <v>#DIV/0!</v>
      </c>
    </row>
    <row r="27" spans="1:4">
      <c r="A27" s="15" t="str">
        <f>'Validation List'!C15</f>
        <v>Not answered</v>
      </c>
      <c r="B27" s="16">
        <f>COUNTIFS(Table2[Which of the following primary care team services did you attend today?],Condition_1,Table2[What is your age category?],A27)</f>
        <v>0</v>
      </c>
      <c r="C27" s="17" t="e">
        <f t="shared" si="0"/>
        <v>#DIV/0!</v>
      </c>
      <c r="D27" s="17"/>
    </row>
    <row r="28" spans="1:4">
      <c r="A28" s="15" t="s">
        <v>39</v>
      </c>
      <c r="B28" s="16">
        <f>SUM(B21:B27)</f>
        <v>0</v>
      </c>
      <c r="C28" s="17" t="e">
        <f>SUM(C21:C27)</f>
        <v>#DIV/0!</v>
      </c>
      <c r="D28" s="17" t="e">
        <f>SUM(D21:D27)</f>
        <v>#DIV/0!</v>
      </c>
    </row>
    <row r="29" spans="1:4">
      <c r="A29" s="18"/>
      <c r="B29" s="13"/>
      <c r="C29" s="22"/>
      <c r="D29" s="22"/>
    </row>
    <row r="30" spans="1:4">
      <c r="A30" s="18"/>
      <c r="B30" s="13"/>
      <c r="C30" s="22"/>
      <c r="D30" s="22"/>
    </row>
    <row r="31" spans="1:4">
      <c r="A31" s="18"/>
      <c r="B31" s="13"/>
      <c r="C31" s="22"/>
      <c r="D31" s="22"/>
    </row>
    <row r="32" spans="1:4">
      <c r="A32" s="54" t="str">
        <f>'Validation List'!D3</f>
        <v>Holder of Health cards</v>
      </c>
      <c r="B32" s="55"/>
      <c r="C32" s="55"/>
      <c r="D32" s="49"/>
    </row>
    <row r="33" spans="1:4">
      <c r="A33" s="15"/>
      <c r="B33" s="16" t="s">
        <v>37</v>
      </c>
      <c r="C33" s="17" t="s">
        <v>38</v>
      </c>
      <c r="D33" s="17" t="s">
        <v>42</v>
      </c>
    </row>
    <row r="34" spans="1:4">
      <c r="A34" s="15" t="str">
        <f>'Validation List'!D6</f>
        <v>Medical Card</v>
      </c>
      <c r="B34" s="16">
        <f>COUNTIFS(Table2[Which of the following primary care team services did you attend today?],Condition_1,Table2[Do you hold any of the following cards?],A34)</f>
        <v>0</v>
      </c>
      <c r="C34" s="17" t="e">
        <f t="shared" ref="C34:C43" si="1">B34/No_who_answered_survey*100</f>
        <v>#DIV/0!</v>
      </c>
      <c r="D34" s="17" t="e">
        <f>B34/(No_who_answered_survey-COUNTIFS(Table2[Which of the following primary care team services did you attend today?],Condition_1,Table2[Do you hold any of the following cards?],"Not answered"))*100</f>
        <v>#DIV/0!</v>
      </c>
    </row>
    <row r="35" spans="1:4">
      <c r="A35" s="15" t="str">
        <f>'Validation List'!D7</f>
        <v>GP Visit Card</v>
      </c>
      <c r="B35" s="16">
        <f>COUNTIFS(Table2[Which of the following primary care team services did you attend today?],Condition_1,Table2[Do you hold any of the following cards?],A35)</f>
        <v>0</v>
      </c>
      <c r="C35" s="17" t="e">
        <f t="shared" si="1"/>
        <v>#DIV/0!</v>
      </c>
      <c r="D35" s="17" t="e">
        <f>B35/(No_who_answered_survey-COUNTIFS(Table2[Which of the following primary care team services did you attend today?],Condition_1,Table2[Do you hold any of the following cards?],"Not answered"))*100</f>
        <v>#DIV/0!</v>
      </c>
    </row>
    <row r="36" spans="1:4">
      <c r="A36" s="15" t="str">
        <f>'Validation List'!D8</f>
        <v>Long-term Illness Card</v>
      </c>
      <c r="B36" s="16">
        <f>COUNTIFS(Table2[Which of the following primary care team services did you attend today?],Condition_1,Table2[Do you hold any of the following cards?],A36)</f>
        <v>0</v>
      </c>
      <c r="C36" s="17" t="e">
        <f t="shared" si="1"/>
        <v>#DIV/0!</v>
      </c>
      <c r="D36" s="17" t="e">
        <f>B36/(No_who_answered_survey-COUNTIFS(Table2[Which of the following primary care team services did you attend today?],Condition_1,Table2[Do you hold any of the following cards?],"Not answered"))*100</f>
        <v>#DIV/0!</v>
      </c>
    </row>
    <row r="37" spans="1:4" ht="30">
      <c r="A37" s="15" t="str">
        <f>'Validation List'!D9</f>
        <v>Health Amendment Act Card</v>
      </c>
      <c r="B37" s="16">
        <f>COUNTIFS(Table2[Which of the following primary care team services did you attend today?],Condition_1,Table2[Do you hold any of the following cards?],A37)</f>
        <v>0</v>
      </c>
      <c r="C37" s="17" t="e">
        <f t="shared" si="1"/>
        <v>#DIV/0!</v>
      </c>
      <c r="D37" s="17" t="e">
        <f>B37/(No_who_answered_survey-COUNTIFS(Table2[Which of the following primary care team services did you attend today?],Condition_1,Table2[Do you hold any of the following cards?],"Not answered"))*100</f>
        <v>#DIV/0!</v>
      </c>
    </row>
    <row r="38" spans="1:4" ht="30">
      <c r="A38" s="15" t="str">
        <f>'Validation List'!D10</f>
        <v>European Health Insurance Card</v>
      </c>
      <c r="B38" s="16">
        <f>COUNTIFS(Table2[Which of the following primary care team services did you attend today?],Condition_1,Table2[Do you hold any of the following cards?],A38)</f>
        <v>0</v>
      </c>
      <c r="C38" s="17" t="e">
        <f t="shared" si="1"/>
        <v>#DIV/0!</v>
      </c>
      <c r="D38" s="17" t="e">
        <f>B38/(No_who_answered_survey-COUNTIFS(Table2[Which of the following primary care team services did you attend today?],Condition_1,Table2[Do you hold any of the following cards?],"Not answered"))*100</f>
        <v>#DIV/0!</v>
      </c>
    </row>
    <row r="39" spans="1:4" ht="30">
      <c r="A39" s="15" t="str">
        <f>'Validation List'!D11</f>
        <v>Drug Payment Scheme Card</v>
      </c>
      <c r="B39" s="16">
        <f>COUNTIFS(Table2[Which of the following primary care team services did you attend today?],Condition_1,Table2[Do you hold any of the following cards?],A39)</f>
        <v>0</v>
      </c>
      <c r="C39" s="17" t="e">
        <f t="shared" si="1"/>
        <v>#DIV/0!</v>
      </c>
      <c r="D39" s="17" t="e">
        <f>B39/(No_who_answered_survey-COUNTIFS(Table2[Which of the following primary care team services did you attend today?],Condition_1,Table2[Do you hold any of the following cards?],"Not answered"))*100</f>
        <v>#DIV/0!</v>
      </c>
    </row>
    <row r="40" spans="1:4">
      <c r="A40" s="15" t="str">
        <f>'Validation List'!D12</f>
        <v>Other</v>
      </c>
      <c r="B40" s="16">
        <f>COUNTIFS(Table2[Which of the following primary care team services did you attend today?],Condition_1,Table2[Do you hold any of the following cards?],A40)</f>
        <v>0</v>
      </c>
      <c r="C40" s="17" t="e">
        <f t="shared" si="1"/>
        <v>#DIV/0!</v>
      </c>
      <c r="D40" s="17" t="e">
        <f>B40/(No_who_answered_survey-COUNTIFS(Table2[Which of the following primary care team services did you attend today?],Condition_1,Table2[Do you hold any of the following cards?],"Not answered"))*100</f>
        <v>#DIV/0!</v>
      </c>
    </row>
    <row r="41" spans="1:4" ht="30">
      <c r="A41" s="15" t="str">
        <f>'Validation List'!D13</f>
        <v>2 or more of the above cards</v>
      </c>
      <c r="B41" s="16">
        <f>COUNTIFS(Table2[Which of the following primary care team services did you attend today?],Condition_1,Table2[Do you hold any of the following cards?],A41)</f>
        <v>0</v>
      </c>
      <c r="C41" s="17" t="e">
        <f t="shared" si="1"/>
        <v>#DIV/0!</v>
      </c>
      <c r="D41" s="17" t="e">
        <f>B41/(No_who_answered_survey-COUNTIFS(Table2[Which of the following primary care team services did you attend today?],Condition_1,Table2[Do you hold any of the following cards?],"Not answered"))*100</f>
        <v>#DIV/0!</v>
      </c>
    </row>
    <row r="42" spans="1:4">
      <c r="A42" s="15" t="str">
        <f>'Validation List'!D14</f>
        <v>None of these</v>
      </c>
      <c r="B42" s="16">
        <f>COUNTIFS(Table2[Which of the following primary care team services did you attend today?],Condition_1,Table2[Do you hold any of the following cards?],A42)</f>
        <v>0</v>
      </c>
      <c r="C42" s="17" t="e">
        <f t="shared" ref="C42" si="2">B42/No_who_answered_survey*100</f>
        <v>#DIV/0!</v>
      </c>
      <c r="D42" s="17" t="e">
        <f>B42/(No_who_answered_survey-COUNTIFS(Table2[Which of the following primary care team services did you attend today?],Condition_1,Table2[Do you hold any of the following cards?],"Not answered"))*100</f>
        <v>#DIV/0!</v>
      </c>
    </row>
    <row r="43" spans="1:4">
      <c r="A43" s="15" t="str">
        <f>'Validation List'!D15</f>
        <v>Not answered</v>
      </c>
      <c r="B43" s="16">
        <f>COUNTIFS(Table2[Which of the following primary care team services did you attend today?],Condition_1,Table2[Do you hold any of the following cards?],A43)</f>
        <v>0</v>
      </c>
      <c r="C43" s="17" t="e">
        <f t="shared" si="1"/>
        <v>#DIV/0!</v>
      </c>
      <c r="D43" s="17"/>
    </row>
    <row r="44" spans="1:4">
      <c r="A44" s="15" t="s">
        <v>39</v>
      </c>
      <c r="B44" s="16">
        <f>SUM(B34:B43)</f>
        <v>0</v>
      </c>
      <c r="C44" s="17" t="e">
        <f>SUM(C34:C43)</f>
        <v>#DIV/0!</v>
      </c>
      <c r="D44" s="17" t="e">
        <f>SUM(D34:D43)</f>
        <v>#DIV/0!</v>
      </c>
    </row>
    <row r="45" spans="1:4">
      <c r="A45" s="18"/>
      <c r="B45" s="13"/>
      <c r="C45" s="22"/>
      <c r="D45" s="22"/>
    </row>
    <row r="46" spans="1:4">
      <c r="A46" s="18"/>
      <c r="B46" s="13"/>
      <c r="C46" s="22"/>
      <c r="D46" s="22"/>
    </row>
    <row r="47" spans="1:4" s="26" customFormat="1" ht="29.25" customHeight="1">
      <c r="A47" s="47" t="str">
        <f>'Validation List'!E3</f>
        <v>Use of Interpreter Services</v>
      </c>
      <c r="B47" s="48"/>
      <c r="C47" s="48"/>
      <c r="D47" s="52"/>
    </row>
    <row r="48" spans="1:4">
      <c r="A48" s="15"/>
      <c r="B48" s="16" t="s">
        <v>37</v>
      </c>
      <c r="C48" s="17" t="s">
        <v>38</v>
      </c>
      <c r="D48" s="17" t="s">
        <v>42</v>
      </c>
    </row>
    <row r="49" spans="1:4" ht="30">
      <c r="A49" s="15" t="str">
        <f>'Validation List'!E6</f>
        <v>I did not use an interpreter for my appointment</v>
      </c>
      <c r="B49" s="16">
        <f>COUNTIFS(Table2[Which of the following primary care team services did you attend today?],Condition_1,Table2[Please state which of the following applies to you?],A49)</f>
        <v>0</v>
      </c>
      <c r="C49" s="17" t="e">
        <f t="shared" ref="C49" si="3">B49/No_who_answered_survey*100</f>
        <v>#DIV/0!</v>
      </c>
      <c r="D49" s="17" t="e">
        <f>B49/(No_who_answered_survey-COUNTIFS(Table2[Which of the following primary care team services did you attend today?],Condition_1,Table2[Please state which of the following applies to you?],"Not answered"))*100</f>
        <v>#DIV/0!</v>
      </c>
    </row>
    <row r="50" spans="1:4">
      <c r="A50" s="15" t="str">
        <f>'Validation List'!E7</f>
        <v>I used a Sign interpreter</v>
      </c>
      <c r="B50" s="16">
        <f>COUNTIFS(Table2[Which of the following primary care team services did you attend today?],Condition_1,Table2[Please state which of the following applies to you?],A50)</f>
        <v>0</v>
      </c>
      <c r="C50" s="17" t="e">
        <f t="shared" ref="C50:C52" si="4">B50/No_who_answered_survey*100</f>
        <v>#DIV/0!</v>
      </c>
      <c r="D50" s="17" t="e">
        <f>B50/(No_who_answered_survey-COUNTIFS(Table2[Which of the following primary care team services did you attend today?],Condition_1,Table2[Please state which of the following applies to you?],"Not answered"))*100</f>
        <v>#DIV/0!</v>
      </c>
    </row>
    <row r="51" spans="1:4" ht="30">
      <c r="A51" s="15" t="str">
        <f>'Validation List'!E8</f>
        <v>I used a Language interpreter</v>
      </c>
      <c r="B51" s="16">
        <f>COUNTIFS(Table2[Which of the following primary care team services did you attend today?],Condition_1,Table2[Please state which of the following applies to you?],A51)</f>
        <v>0</v>
      </c>
      <c r="C51" s="17" t="e">
        <f t="shared" si="4"/>
        <v>#DIV/0!</v>
      </c>
      <c r="D51" s="17" t="e">
        <f>B51/(No_who_answered_survey-COUNTIFS(Table2[Which of the following primary care team services did you attend today?],Condition_1,Table2[Please state which of the following applies to you?],"Not answered"))*100</f>
        <v>#DIV/0!</v>
      </c>
    </row>
    <row r="52" spans="1:4">
      <c r="A52" s="15" t="str">
        <f>'Validation List'!E15</f>
        <v>Not answered</v>
      </c>
      <c r="B52" s="16">
        <f>COUNTIFS(Table2[Which of the following primary care team services did you attend today?],Condition_1,Table2[Please state which of the following applies to you?],A52)</f>
        <v>0</v>
      </c>
      <c r="C52" s="17" t="e">
        <f t="shared" si="4"/>
        <v>#DIV/0!</v>
      </c>
      <c r="D52" s="17"/>
    </row>
    <row r="53" spans="1:4">
      <c r="A53" s="15" t="s">
        <v>39</v>
      </c>
      <c r="B53" s="16">
        <f>SUM(B49:B52)</f>
        <v>0</v>
      </c>
      <c r="C53" s="17" t="e">
        <f>SUM(C49:C52)</f>
        <v>#DIV/0!</v>
      </c>
      <c r="D53" s="17" t="e">
        <f>SUM(D49:D52)</f>
        <v>#DIV/0!</v>
      </c>
    </row>
    <row r="54" spans="1:4">
      <c r="A54" s="18"/>
      <c r="B54" s="13"/>
      <c r="C54" s="22"/>
      <c r="D54" s="22"/>
    </row>
    <row r="55" spans="1:4">
      <c r="A55" s="18"/>
      <c r="B55" s="13"/>
      <c r="C55" s="22"/>
      <c r="D55" s="22"/>
    </row>
    <row r="56" spans="1:4">
      <c r="A56" s="47" t="str">
        <f>'Validation List'!F3</f>
        <v>Patients Country of Origin.</v>
      </c>
      <c r="B56" s="48"/>
      <c r="C56" s="48"/>
      <c r="D56" s="49"/>
    </row>
    <row r="57" spans="1:4">
      <c r="A57" s="15"/>
      <c r="B57" s="16" t="s">
        <v>37</v>
      </c>
      <c r="C57" s="17" t="s">
        <v>38</v>
      </c>
      <c r="D57" s="17" t="s">
        <v>42</v>
      </c>
    </row>
    <row r="58" spans="1:4">
      <c r="A58" s="15" t="str">
        <f>'Validation List'!F6</f>
        <v>Ireland</v>
      </c>
      <c r="B58" s="16">
        <f>COUNTIFS(Table2[Which of the following primary care team services did you attend today?],Condition_1,Table2[Please tell us your country of origin.],A58)</f>
        <v>0</v>
      </c>
      <c r="C58" s="17" t="e">
        <f t="shared" ref="C58" si="5">B58/No_who_answered_survey*100</f>
        <v>#DIV/0!</v>
      </c>
      <c r="D58" s="17" t="e">
        <f>B58/(No_who_answered_survey-COUNTIFS(Table2[Which of the following primary care team services did you attend today?],Condition_1,Table2[Please tell us your country of origin.],"Not answered"))*100</f>
        <v>#DIV/0!</v>
      </c>
    </row>
    <row r="59" spans="1:4">
      <c r="A59" s="15" t="str">
        <f>'Validation List'!F7</f>
        <v>United Kingdom</v>
      </c>
      <c r="B59" s="16">
        <f>COUNTIFS(Table2[Which of the following primary care team services did you attend today?],Condition_1,Table2[Please tell us your country of origin.],A59)</f>
        <v>0</v>
      </c>
      <c r="C59" s="17" t="e">
        <f t="shared" ref="C59:C63" si="6">B59/No_who_answered_survey*100</f>
        <v>#DIV/0!</v>
      </c>
      <c r="D59" s="17" t="e">
        <f>B59/(No_who_answered_survey-COUNTIFS(Table2[Which of the following primary care team services did you attend today?],Condition_1,Table2[Please tell us your country of origin.],"Not answered"))*100</f>
        <v>#DIV/0!</v>
      </c>
    </row>
    <row r="60" spans="1:4">
      <c r="A60" s="15" t="str">
        <f>'Validation List'!F8</f>
        <v>EU</v>
      </c>
      <c r="B60" s="16">
        <f>COUNTIFS(Table2[Which of the following primary care team services did you attend today?],Condition_1,Table2[Please tell us your country of origin.],A60)</f>
        <v>0</v>
      </c>
      <c r="C60" s="17" t="e">
        <f t="shared" si="6"/>
        <v>#DIV/0!</v>
      </c>
      <c r="D60" s="17" t="e">
        <f>B60/(No_who_answered_survey-COUNTIFS(Table2[Which of the following primary care team services did you attend today?],Condition_1,Table2[Please tell us your country of origin.],"Not answered"))*100</f>
        <v>#DIV/0!</v>
      </c>
    </row>
    <row r="61" spans="1:4">
      <c r="A61" s="15" t="str">
        <f>'Validation List'!F9</f>
        <v>Non-EU</v>
      </c>
      <c r="B61" s="16">
        <f>COUNTIFS(Table2[Which of the following primary care team services did you attend today?],Condition_1,Table2[Please tell us your country of origin.],A61)</f>
        <v>0</v>
      </c>
      <c r="C61" s="17" t="e">
        <f t="shared" si="6"/>
        <v>#DIV/0!</v>
      </c>
      <c r="D61" s="17" t="e">
        <f>B61/(No_who_answered_survey-COUNTIFS(Table2[Which of the following primary care team services did you attend today?],Condition_1,Table2[Please tell us your country of origin.],"Not answered"))*100</f>
        <v>#DIV/0!</v>
      </c>
    </row>
    <row r="62" spans="1:4">
      <c r="A62" s="15" t="str">
        <f>'Validation List'!F10</f>
        <v>Other</v>
      </c>
      <c r="B62" s="16">
        <f>COUNTIFS(Table2[Which of the following primary care team services did you attend today?],Condition_1,Table2[Please tell us your country of origin.],A62)</f>
        <v>0</v>
      </c>
      <c r="C62" s="17" t="e">
        <f t="shared" si="6"/>
        <v>#DIV/0!</v>
      </c>
      <c r="D62" s="17" t="e">
        <f>B62/(No_who_answered_survey-COUNTIFS(Table2[Which of the following primary care team services did you attend today?],Condition_1,Table2[Please tell us your country of origin.],"Not answered"))*100</f>
        <v>#DIV/0!</v>
      </c>
    </row>
    <row r="63" spans="1:4">
      <c r="A63" s="15" t="str">
        <f>'Validation List'!F15</f>
        <v>Not answered</v>
      </c>
      <c r="B63" s="16">
        <f>COUNTIFS(Table2[Which of the following primary care team services did you attend today?],Condition_1,Table2[Please tell us your country of origin.],A63)</f>
        <v>0</v>
      </c>
      <c r="C63" s="17" t="e">
        <f t="shared" si="6"/>
        <v>#DIV/0!</v>
      </c>
      <c r="D63" s="17"/>
    </row>
    <row r="64" spans="1:4">
      <c r="A64" s="15" t="s">
        <v>39</v>
      </c>
      <c r="B64" s="16">
        <f>SUM(B58:B63)</f>
        <v>0</v>
      </c>
      <c r="C64" s="17" t="e">
        <f>SUM(C58:C63)</f>
        <v>#DIV/0!</v>
      </c>
      <c r="D64" s="17" t="e">
        <f>SUM(D58:D63)</f>
        <v>#DIV/0!</v>
      </c>
    </row>
    <row r="65" spans="1:4">
      <c r="A65" s="18"/>
      <c r="B65" s="13"/>
      <c r="C65" s="22"/>
      <c r="D65" s="22"/>
    </row>
    <row r="66" spans="1:4">
      <c r="A66" s="18"/>
      <c r="B66" s="13"/>
      <c r="C66" s="22"/>
      <c r="D66" s="22"/>
    </row>
    <row r="67" spans="1:4">
      <c r="A67" s="47" t="str">
        <f>'Validation List'!G3</f>
        <v>Primary Care Team services attended on day of survey</v>
      </c>
      <c r="B67" s="48"/>
      <c r="C67" s="48"/>
      <c r="D67" s="49"/>
    </row>
    <row r="68" spans="1:4">
      <c r="A68" s="15"/>
      <c r="B68" s="16" t="s">
        <v>37</v>
      </c>
      <c r="C68" s="17" t="s">
        <v>38</v>
      </c>
      <c r="D68" s="17" t="s">
        <v>42</v>
      </c>
    </row>
    <row r="69" spans="1:4">
      <c r="A69" s="15" t="str">
        <f>'Validation List'!G17</f>
        <v>GP</v>
      </c>
      <c r="B69" s="16">
        <f>COUNTIF(Table2[Which of the following primary care team services did you attend today?],A69)</f>
        <v>0</v>
      </c>
      <c r="C69" s="17" t="e">
        <f t="shared" ref="C69:C86" si="7">B69/No_in_Audit*100</f>
        <v>#DIV/0!</v>
      </c>
      <c r="D69" s="17" t="e">
        <f>B69/(No_in_Audit-COUNTIF(Table2[Which of the following primary care team services did you attend today?],"Not answered"))*100</f>
        <v>#DIV/0!</v>
      </c>
    </row>
    <row r="70" spans="1:4">
      <c r="A70" s="15" t="str">
        <f>'Validation List'!G18</f>
        <v>Practice Nurse</v>
      </c>
      <c r="B70" s="16">
        <f>COUNTIF(Table2[Which of the following primary care team services did you attend today?],A70)</f>
        <v>0</v>
      </c>
      <c r="C70" s="17" t="e">
        <f t="shared" si="7"/>
        <v>#DIV/0!</v>
      </c>
      <c r="D70" s="17" t="e">
        <f>B70/(No_in_Audit-COUNTIF(Table2[Which of the following primary care team services did you attend today?],"Not answered"))*100</f>
        <v>#DIV/0!</v>
      </c>
    </row>
    <row r="71" spans="1:4" ht="30">
      <c r="A71" s="15" t="str">
        <f>'Validation List'!G19</f>
        <v>Public Health Nurse or Community Nurse</v>
      </c>
      <c r="B71" s="16">
        <f>COUNTIF(Table2[Which of the following primary care team services did you attend today?],A71)</f>
        <v>0</v>
      </c>
      <c r="C71" s="17" t="e">
        <f t="shared" si="7"/>
        <v>#DIV/0!</v>
      </c>
      <c r="D71" s="17" t="e">
        <f>B71/(No_in_Audit-COUNTIF(Table2[Which of the following primary care team services did you attend today?],"Not answered"))*100</f>
        <v>#DIV/0!</v>
      </c>
    </row>
    <row r="72" spans="1:4">
      <c r="A72" s="15" t="str">
        <f>'Validation List'!G20</f>
        <v>Physiotherapist</v>
      </c>
      <c r="B72" s="16">
        <f>COUNTIF(Table2[Which of the following primary care team services did you attend today?],A72)</f>
        <v>0</v>
      </c>
      <c r="C72" s="17" t="e">
        <f t="shared" si="7"/>
        <v>#DIV/0!</v>
      </c>
      <c r="D72" s="17" t="e">
        <f>B72/(No_in_Audit-COUNTIF(Table2[Which of the following primary care team services did you attend today?],"Not answered"))*100</f>
        <v>#DIV/0!</v>
      </c>
    </row>
    <row r="73" spans="1:4">
      <c r="A73" s="15" t="str">
        <f>'Validation List'!G21</f>
        <v>Occupational Therapist</v>
      </c>
      <c r="B73" s="16">
        <f>COUNTIF(Table2[Which of the following primary care team services did you attend today?],A73)</f>
        <v>0</v>
      </c>
      <c r="C73" s="17" t="e">
        <f t="shared" si="7"/>
        <v>#DIV/0!</v>
      </c>
      <c r="D73" s="17" t="e">
        <f>B73/(No_in_Audit-COUNTIF(Table2[Which of the following primary care team services did you attend today?],"Not answered"))*100</f>
        <v>#DIV/0!</v>
      </c>
    </row>
    <row r="74" spans="1:4">
      <c r="A74" s="15" t="str">
        <f>'Validation List'!G22</f>
        <v>SLT</v>
      </c>
      <c r="B74" s="16">
        <f>COUNTIF(Table2[Which of the following primary care team services did you attend today?],A74)</f>
        <v>0</v>
      </c>
      <c r="C74" s="17" t="e">
        <f t="shared" si="7"/>
        <v>#DIV/0!</v>
      </c>
      <c r="D74" s="17" t="e">
        <f>B74/(No_in_Audit-COUNTIF(Table2[Which of the following primary care team services did you attend today?],"Not answered"))*100</f>
        <v>#DIV/0!</v>
      </c>
    </row>
    <row r="75" spans="1:4">
      <c r="A75" s="15" t="str">
        <f>'Validation List'!G23</f>
        <v>Dentist</v>
      </c>
      <c r="B75" s="16">
        <f>COUNTIF(Table2[Which of the following primary care team services did you attend today?],A75)</f>
        <v>0</v>
      </c>
      <c r="C75" s="17" t="e">
        <f t="shared" ref="C75:C81" si="8">B75/No_in_Audit*100</f>
        <v>#DIV/0!</v>
      </c>
      <c r="D75" s="17" t="e">
        <f>B75/(No_in_Audit-COUNTIF(Table2[Which of the following primary care team services did you attend today?],"Not answered"))*100</f>
        <v>#DIV/0!</v>
      </c>
    </row>
    <row r="76" spans="1:4">
      <c r="A76" s="15" t="str">
        <f>'Validation List'!G24</f>
        <v>Dental Hygienist/ Nurse</v>
      </c>
      <c r="B76" s="16">
        <f>COUNTIF(Table2[Which of the following primary care team services did you attend today?],A76)</f>
        <v>0</v>
      </c>
      <c r="C76" s="17" t="e">
        <f t="shared" si="8"/>
        <v>#DIV/0!</v>
      </c>
      <c r="D76" s="17" t="e">
        <f>B76/(No_in_Audit-COUNTIF(Table2[Which of the following primary care team services did you attend today?],"Not answered"))*100</f>
        <v>#DIV/0!</v>
      </c>
    </row>
    <row r="77" spans="1:4">
      <c r="A77" s="15" t="str">
        <f>'Validation List'!G25</f>
        <v>Podiatrist/ Chiropodist</v>
      </c>
      <c r="B77" s="16">
        <f>COUNTIF(Table2[Which of the following primary care team services did you attend today?],A77)</f>
        <v>0</v>
      </c>
      <c r="C77" s="17" t="e">
        <f t="shared" si="8"/>
        <v>#DIV/0!</v>
      </c>
      <c r="D77" s="17" t="e">
        <f>B77/(No_in_Audit-COUNTIF(Table2[Which of the following primary care team services did you attend today?],"Not answered"))*100</f>
        <v>#DIV/0!</v>
      </c>
    </row>
    <row r="78" spans="1:4">
      <c r="A78" s="15" t="str">
        <f>'Validation List'!G26</f>
        <v>Dietician</v>
      </c>
      <c r="B78" s="16">
        <f>COUNTIF(Table2[Which of the following primary care team services did you attend today?],A78)</f>
        <v>0</v>
      </c>
      <c r="C78" s="17" t="e">
        <f t="shared" si="8"/>
        <v>#DIV/0!</v>
      </c>
      <c r="D78" s="17" t="e">
        <f>B78/(No_in_Audit-COUNTIF(Table2[Which of the following primary care team services did you attend today?],"Not answered"))*100</f>
        <v>#DIV/0!</v>
      </c>
    </row>
    <row r="79" spans="1:4">
      <c r="A79" s="15" t="str">
        <f>'Validation List'!G27</f>
        <v>Psychology</v>
      </c>
      <c r="B79" s="16">
        <f>COUNTIF(Table2[Which of the following primary care team services did you attend today?],A79)</f>
        <v>0</v>
      </c>
      <c r="C79" s="17" t="e">
        <f t="shared" si="8"/>
        <v>#DIV/0!</v>
      </c>
      <c r="D79" s="17" t="e">
        <f>B79/(No_in_Audit-COUNTIF(Table2[Which of the following primary care team services did you attend today?],"Not answered"))*100</f>
        <v>#DIV/0!</v>
      </c>
    </row>
    <row r="80" spans="1:4">
      <c r="A80" s="15" t="str">
        <f>'Validation List'!G28</f>
        <v>Orthodontic</v>
      </c>
      <c r="B80" s="16">
        <f>COUNTIF(Table2[Which of the following primary care team services did you attend today?],A80)</f>
        <v>0</v>
      </c>
      <c r="C80" s="17" t="e">
        <f t="shared" si="8"/>
        <v>#DIV/0!</v>
      </c>
      <c r="D80" s="17" t="e">
        <f>B80/(No_in_Audit-COUNTIF(Table2[Which of the following primary care team services did you attend today?],"Not answered"))*100</f>
        <v>#DIV/0!</v>
      </c>
    </row>
    <row r="81" spans="1:4">
      <c r="A81" s="15" t="str">
        <f>'Validation List'!G29</f>
        <v>Social Work</v>
      </c>
      <c r="B81" s="16">
        <f>COUNTIF(Table2[Which of the following primary care team services did you attend today?],A81)</f>
        <v>0</v>
      </c>
      <c r="C81" s="17" t="e">
        <f t="shared" si="8"/>
        <v>#DIV/0!</v>
      </c>
      <c r="D81" s="17" t="e">
        <f>B81/(No_in_Audit-COUNTIF(Table2[Which of the following primary care team services did you attend today?],"Not answered"))*100</f>
        <v>#DIV/0!</v>
      </c>
    </row>
    <row r="82" spans="1:4">
      <c r="A82" s="15" t="str">
        <f>'Validation List'!G30</f>
        <v>Ophthalmic</v>
      </c>
      <c r="B82" s="16">
        <f>COUNTIF(Table2[Which of the following primary care team services did you attend today?],A82)</f>
        <v>0</v>
      </c>
      <c r="C82" s="17" t="e">
        <f t="shared" ref="C82:C85" si="9">B82/No_in_Audit*100</f>
        <v>#DIV/0!</v>
      </c>
      <c r="D82" s="17" t="e">
        <f>B82/(No_in_Audit-COUNTIF(Table2[Which of the following primary care team services did you attend today?],"Not answered"))*100</f>
        <v>#DIV/0!</v>
      </c>
    </row>
    <row r="83" spans="1:4">
      <c r="A83" s="15" t="str">
        <f>'Validation List'!G31</f>
        <v>Audiology</v>
      </c>
      <c r="B83" s="16">
        <f>COUNTIF(Table2[Which of the following primary care team services did you attend today?],A83)</f>
        <v>0</v>
      </c>
      <c r="C83" s="17" t="e">
        <f t="shared" si="9"/>
        <v>#DIV/0!</v>
      </c>
      <c r="D83" s="17" t="e">
        <f>B83/(No_in_Audit-COUNTIF(Table2[Which of the following primary care team services did you attend today?],"Not answered"))*100</f>
        <v>#DIV/0!</v>
      </c>
    </row>
    <row r="84" spans="1:4">
      <c r="A84" s="15" t="str">
        <f>'Validation List'!G32</f>
        <v>Another service</v>
      </c>
      <c r="B84" s="16">
        <f>COUNTIF(Table2[Which of the following primary care team services did you attend today?],A84)</f>
        <v>0</v>
      </c>
      <c r="C84" s="17" t="e">
        <f t="shared" si="9"/>
        <v>#DIV/0!</v>
      </c>
      <c r="D84" s="17" t="e">
        <f>B84/(No_in_Audit-COUNTIF(Table2[Which of the following primary care team services did you attend today?],"Not answered"))*100</f>
        <v>#DIV/0!</v>
      </c>
    </row>
    <row r="85" spans="1:4" ht="30">
      <c r="A85" s="15" t="str">
        <f>'Validation List'!G33</f>
        <v>Attended more than one service</v>
      </c>
      <c r="B85" s="16">
        <f>COUNTIF(Table2[Which of the following primary care team services did you attend today?],A85)</f>
        <v>0</v>
      </c>
      <c r="C85" s="17" t="e">
        <f t="shared" si="9"/>
        <v>#DIV/0!</v>
      </c>
      <c r="D85" s="17" t="e">
        <f>B85/(No_in_Audit-COUNTIF(Table2[Which of the following primary care team services did you attend today?],"Not answered"))*100</f>
        <v>#DIV/0!</v>
      </c>
    </row>
    <row r="86" spans="1:4">
      <c r="A86" s="15" t="str">
        <f>'Validation List'!G15</f>
        <v>Not answered</v>
      </c>
      <c r="B86" s="16">
        <f>COUNTIF(Table2[Which of the following primary care team services did you attend today?],A86)</f>
        <v>0</v>
      </c>
      <c r="C86" s="17" t="e">
        <f t="shared" si="7"/>
        <v>#DIV/0!</v>
      </c>
      <c r="D86" s="17"/>
    </row>
    <row r="87" spans="1:4">
      <c r="A87" s="15" t="s">
        <v>39</v>
      </c>
      <c r="B87" s="16">
        <f>SUM(B69:B86)</f>
        <v>0</v>
      </c>
      <c r="C87" s="17" t="e">
        <f>SUM(C69:C86)</f>
        <v>#DIV/0!</v>
      </c>
      <c r="D87" s="17" t="e">
        <f>SUM(D69:D86)</f>
        <v>#DIV/0!</v>
      </c>
    </row>
    <row r="88" spans="1:4">
      <c r="A88" s="18"/>
      <c r="B88" s="13"/>
      <c r="C88" s="22"/>
      <c r="D88" s="22"/>
    </row>
    <row r="89" spans="1:4">
      <c r="A89" s="18"/>
      <c r="B89" s="13"/>
      <c r="C89" s="22"/>
      <c r="D89" s="22"/>
    </row>
    <row r="90" spans="1:4">
      <c r="A90" s="50" t="str">
        <f>'Validation List'!H3</f>
        <v>Patient's experience of accessing the service</v>
      </c>
      <c r="B90" s="50"/>
      <c r="C90" s="50"/>
      <c r="D90" s="51"/>
    </row>
    <row r="91" spans="1:4">
      <c r="A91" s="15"/>
      <c r="B91" s="16" t="s">
        <v>37</v>
      </c>
      <c r="C91" s="17" t="s">
        <v>38</v>
      </c>
      <c r="D91" s="17" t="s">
        <v>42</v>
      </c>
    </row>
    <row r="92" spans="1:4" ht="30">
      <c r="A92" s="15" t="str">
        <f>'Validation List'!H6</f>
        <v>I had no difficulties accessing the service.</v>
      </c>
      <c r="B92" s="16">
        <f>COUNTIFS(Table2[Which of the following primary care team services did you attend today?],Condition_1,Table2[Please tell us about your experience accessing the service today?],A92)</f>
        <v>0</v>
      </c>
      <c r="C92" s="17" t="e">
        <f t="shared" ref="C92" si="10">B92/No_who_answered_survey*100</f>
        <v>#DIV/0!</v>
      </c>
      <c r="D92" s="17" t="e">
        <f>B92/(No_who_answered_survey-COUNTIFS(Table2[Which of the following primary care team services did you attend today?],Condition_1,Table2[Please tell us about your experience accessing the service today?],"Not answered"))*100</f>
        <v>#DIV/0!</v>
      </c>
    </row>
    <row r="93" spans="1:4" ht="30">
      <c r="A93" s="15" t="str">
        <f>'Validation List'!H7</f>
        <v>The opening times were not suitable.</v>
      </c>
      <c r="B93" s="16">
        <f>COUNTIFS(Table2[Which of the following primary care team services did you attend today?],Condition_1,Table2[Please tell us about your experience accessing the service today?],A93)</f>
        <v>0</v>
      </c>
      <c r="C93" s="17" t="e">
        <f t="shared" ref="C93:C99" si="11">B93/No_who_answered_survey*100</f>
        <v>#DIV/0!</v>
      </c>
      <c r="D93" s="17" t="e">
        <f>B93/(No_who_answered_survey-COUNTIFS(Table2[Which of the following primary care team services did you attend today?],Condition_1,Table2[Please tell us about your experience accessing the service today?],"Not answered"))*100</f>
        <v>#DIV/0!</v>
      </c>
    </row>
    <row r="94" spans="1:4" ht="45">
      <c r="A94" s="15" t="str">
        <f>'Validation List'!H8</f>
        <v>The waiting times for an appointment were too long.</v>
      </c>
      <c r="B94" s="16">
        <f>COUNTIFS(Table2[Which of the following primary care team services did you attend today?],Condition_1,Table2[Please tell us about your experience accessing the service today?],A94)</f>
        <v>0</v>
      </c>
      <c r="C94" s="17" t="e">
        <f t="shared" si="11"/>
        <v>#DIV/0!</v>
      </c>
      <c r="D94" s="17" t="e">
        <f>B94/(No_who_answered_survey-COUNTIFS(Table2[Which of the following primary care team services did you attend today?],Condition_1,Table2[Please tell us about your experience accessing the service today?],"Not answered"))*100</f>
        <v>#DIV/0!</v>
      </c>
    </row>
    <row r="95" spans="1:4" ht="60">
      <c r="A95" s="15" t="str">
        <f>'Validation List'!H9</f>
        <v>The service I needed had not been available within the primary care team until now.</v>
      </c>
      <c r="B95" s="16">
        <f>COUNTIFS(Table2[Which of the following primary care team services did you attend today?],Condition_1,Table2[Please tell us about your experience accessing the service today?],A95)</f>
        <v>0</v>
      </c>
      <c r="C95" s="17" t="e">
        <f t="shared" si="11"/>
        <v>#DIV/0!</v>
      </c>
      <c r="D95" s="17" t="e">
        <f>B95/(No_who_answered_survey-COUNTIFS(Table2[Which of the following primary care team services did you attend today?],Condition_1,Table2[Please tell us about your experience accessing the service today?],"Not answered"))*100</f>
        <v>#DIV/0!</v>
      </c>
    </row>
    <row r="96" spans="1:4" ht="45">
      <c r="A96" s="15" t="str">
        <f>'Validation List'!H10</f>
        <v>I could only get a referral to the service through another service.</v>
      </c>
      <c r="B96" s="16">
        <f>COUNTIFS(Table2[Which of the following primary care team services did you attend today?],Condition_1,Table2[Please tell us about your experience accessing the service today?],A96)</f>
        <v>0</v>
      </c>
      <c r="C96" s="17" t="e">
        <f t="shared" si="11"/>
        <v>#DIV/0!</v>
      </c>
      <c r="D96" s="17" t="e">
        <f>B96/(No_who_answered_survey-COUNTIFS(Table2[Which of the following primary care team services did you attend today?],Condition_1,Table2[Please tell us about your experience accessing the service today?],"Not answered"))*100</f>
        <v>#DIV/0!</v>
      </c>
    </row>
    <row r="97" spans="1:4">
      <c r="A97" s="15" t="str">
        <f>'Validation List'!H11</f>
        <v>Other difficulty</v>
      </c>
      <c r="B97" s="16">
        <f>COUNTIFS(Table2[Which of the following primary care team services did you attend today?],Condition_1,Table2[Please tell us about your experience accessing the service today?],A97)</f>
        <v>0</v>
      </c>
      <c r="C97" s="17" t="e">
        <f t="shared" si="11"/>
        <v>#DIV/0!</v>
      </c>
      <c r="D97" s="17" t="e">
        <f>B97/(No_who_answered_survey-COUNTIFS(Table2[Which of the following primary care team services did you attend today?],Condition_1,Table2[Please tell us about your experience accessing the service today?],"Not answered"))*100</f>
        <v>#DIV/0!</v>
      </c>
    </row>
    <row r="98" spans="1:4">
      <c r="A98" s="15" t="str">
        <f>'Validation List'!H12</f>
        <v>More than one difficulty</v>
      </c>
      <c r="B98" s="16">
        <f>COUNTIFS(Table2[Which of the following primary care team services did you attend today?],Condition_1,Table2[Please tell us about your experience accessing the service today?],A98)</f>
        <v>0</v>
      </c>
      <c r="C98" s="17" t="e">
        <f t="shared" si="11"/>
        <v>#DIV/0!</v>
      </c>
      <c r="D98" s="17" t="e">
        <f>B98/(No_who_answered_survey-COUNTIFS(Table2[Which of the following primary care team services did you attend today?],Condition_1,Table2[Please tell us about your experience accessing the service today?],"Not answered"))*100</f>
        <v>#DIV/0!</v>
      </c>
    </row>
    <row r="99" spans="1:4">
      <c r="A99" s="15" t="str">
        <f>'Validation List'!H15</f>
        <v>Not answered</v>
      </c>
      <c r="B99" s="16">
        <f>COUNTIFS(Table2[Which of the following primary care team services did you attend today?],Condition_1,Table2[Please tell us about your experience accessing the service today?],A99)</f>
        <v>0</v>
      </c>
      <c r="C99" s="17" t="e">
        <f t="shared" si="11"/>
        <v>#DIV/0!</v>
      </c>
      <c r="D99" s="17"/>
    </row>
    <row r="100" spans="1:4">
      <c r="A100" s="15" t="s">
        <v>39</v>
      </c>
      <c r="B100" s="16">
        <f>SUM(B92:B99)</f>
        <v>0</v>
      </c>
      <c r="C100" s="17" t="e">
        <f>SUM(C92:C99)</f>
        <v>#DIV/0!</v>
      </c>
      <c r="D100" s="17" t="e">
        <f>SUM(D92:D99)</f>
        <v>#DIV/0!</v>
      </c>
    </row>
    <row r="101" spans="1:4">
      <c r="A101" s="18"/>
      <c r="B101" s="13"/>
      <c r="C101" s="22"/>
      <c r="D101" s="22"/>
    </row>
    <row r="102" spans="1:4">
      <c r="A102" s="18"/>
      <c r="B102" s="13"/>
      <c r="C102" s="22"/>
      <c r="D102" s="22"/>
    </row>
    <row r="103" spans="1:4" ht="27" customHeight="1">
      <c r="A103" s="50" t="str">
        <f>'Validation List'!I3</f>
        <v>Place of patient's appointment</v>
      </c>
      <c r="B103" s="50"/>
      <c r="C103" s="50"/>
      <c r="D103" s="51"/>
    </row>
    <row r="104" spans="1:4">
      <c r="A104" s="15"/>
      <c r="B104" s="16" t="s">
        <v>37</v>
      </c>
      <c r="C104" s="17" t="s">
        <v>38</v>
      </c>
      <c r="D104" s="17" t="s">
        <v>42</v>
      </c>
    </row>
    <row r="105" spans="1:4">
      <c r="A105" s="15" t="str">
        <f>'Validation List'!I6</f>
        <v>Primary Care Health Centre</v>
      </c>
      <c r="B105" s="16">
        <f>COUNTIFS(Table2[Which of the following primary care team services did you attend today?],Condition_1,Table2[Where did your appointment take place?],A105)</f>
        <v>0</v>
      </c>
      <c r="C105" s="17" t="e">
        <f t="shared" ref="C105" si="12">B105/No_who_answered_survey*100</f>
        <v>#DIV/0!</v>
      </c>
      <c r="D105" s="17" t="e">
        <f>B105/(No_who_answered_survey-COUNTIFS(Table2[Which of the following primary care team services did you attend today?],Condition_1,Table2[Where did your appointment take place?],"Not answered"))*100</f>
        <v>#DIV/0!</v>
      </c>
    </row>
    <row r="106" spans="1:4">
      <c r="A106" s="15" t="str">
        <f>'Validation List'!I7</f>
        <v>GP Surgery</v>
      </c>
      <c r="B106" s="16">
        <f>COUNTIFS(Table2[Which of the following primary care team services did you attend today?],Condition_1,Table2[Where did your appointment take place?],A106)</f>
        <v>0</v>
      </c>
      <c r="C106" s="17" t="e">
        <f t="shared" ref="C106:C109" si="13">B106/No_who_answered_survey*100</f>
        <v>#DIV/0!</v>
      </c>
      <c r="D106" s="17" t="e">
        <f>B106/(No_who_answered_survey-COUNTIFS(Table2[Which of the following primary care team services did you attend today?],Condition_1,Table2[Where did your appointment take place?],"Not answered"))*100</f>
        <v>#DIV/0!</v>
      </c>
    </row>
    <row r="107" spans="1:4">
      <c r="A107" s="15" t="str">
        <f>'Validation List'!I8</f>
        <v>Patient's Home</v>
      </c>
      <c r="B107" s="16">
        <f>COUNTIFS(Table2[Which of the following primary care team services did you attend today?],Condition_1,Table2[Where did your appointment take place?],A107)</f>
        <v>0</v>
      </c>
      <c r="C107" s="17" t="e">
        <f t="shared" si="13"/>
        <v>#DIV/0!</v>
      </c>
      <c r="D107" s="17" t="e">
        <f>B107/(No_who_answered_survey-COUNTIFS(Table2[Which of the following primary care team services did you attend today?],Condition_1,Table2[Where did your appointment take place?],"Not answered"))*100</f>
        <v>#DIV/0!</v>
      </c>
    </row>
    <row r="108" spans="1:4">
      <c r="A108" s="15" t="str">
        <f>'Validation List'!I9</f>
        <v>Another location</v>
      </c>
      <c r="B108" s="16">
        <f>COUNTIFS(Table2[Which of the following primary care team services did you attend today?],Condition_1,Table2[Where did your appointment take place?],A108)</f>
        <v>0</v>
      </c>
      <c r="C108" s="17" t="e">
        <f t="shared" si="13"/>
        <v>#DIV/0!</v>
      </c>
      <c r="D108" s="17" t="e">
        <f>B108/(No_who_answered_survey-COUNTIFS(Table2[Which of the following primary care team services did you attend today?],Condition_1,Table2[Where did your appointment take place?],"Not answered"))*100</f>
        <v>#DIV/0!</v>
      </c>
    </row>
    <row r="109" spans="1:4">
      <c r="A109" s="15" t="str">
        <f>'Validation List'!I15</f>
        <v>Not answered</v>
      </c>
      <c r="B109" s="16">
        <f>COUNTIFS(Table2[Which of the following primary care team services did you attend today?],Condition_1,Table2[Where did your appointment take place?],A109)</f>
        <v>0</v>
      </c>
      <c r="C109" s="17" t="e">
        <f t="shared" si="13"/>
        <v>#DIV/0!</v>
      </c>
      <c r="D109" s="17"/>
    </row>
    <row r="110" spans="1:4">
      <c r="A110" s="15" t="s">
        <v>39</v>
      </c>
      <c r="B110" s="16">
        <f>SUM(B105:B109)</f>
        <v>0</v>
      </c>
      <c r="C110" s="17" t="e">
        <f>SUM(C105:C109)</f>
        <v>#DIV/0!</v>
      </c>
      <c r="D110" s="17" t="e">
        <f>SUM(D105:D109)</f>
        <v>#DIV/0!</v>
      </c>
    </row>
    <row r="111" spans="1:4">
      <c r="A111" s="18"/>
      <c r="B111" s="13"/>
      <c r="C111" s="22"/>
      <c r="D111" s="22"/>
    </row>
    <row r="112" spans="1:4">
      <c r="A112" s="18"/>
      <c r="B112" s="13"/>
      <c r="C112" s="22"/>
      <c r="D112" s="22"/>
    </row>
    <row r="113" spans="1:4">
      <c r="A113" s="47" t="str">
        <f>'Validation List'!J3</f>
        <v>Suitability of appointment time</v>
      </c>
      <c r="B113" s="48"/>
      <c r="C113" s="48"/>
      <c r="D113" s="49"/>
    </row>
    <row r="114" spans="1:4">
      <c r="A114" s="15"/>
      <c r="B114" s="16" t="s">
        <v>37</v>
      </c>
      <c r="C114" s="17" t="s">
        <v>38</v>
      </c>
      <c r="D114" s="17" t="s">
        <v>42</v>
      </c>
    </row>
    <row r="115" spans="1:4" ht="45">
      <c r="A115" s="15" t="str">
        <f>'Validation List'!J6</f>
        <v>The appointment time given to me was most suitable.</v>
      </c>
      <c r="B115" s="16">
        <f>COUNTIFS(Table2[Which of the following primary care team services did you attend today?],Condition_1,Table2[Tell us about the suitability of your appointment time?],A115)</f>
        <v>0</v>
      </c>
      <c r="C115" s="17" t="e">
        <f t="shared" ref="C115" si="14">B115/No_who_answered_survey*100</f>
        <v>#DIV/0!</v>
      </c>
      <c r="D115" s="17" t="e">
        <f>B115/(No_who_answered_survey-COUNTIFS(Table2[Which of the following primary care team services did you attend today?],Condition_1,Table2[Tell us about the suitability of your appointment time?],"Not answered"))*100</f>
        <v>#DIV/0!</v>
      </c>
    </row>
    <row r="116" spans="1:4" ht="45">
      <c r="A116" s="15" t="str">
        <f>'Validation List'!J7</f>
        <v>I would have preferred an appointment time before 9am.</v>
      </c>
      <c r="B116" s="16">
        <f>COUNTIFS(Table2[Which of the following primary care team services did you attend today?],Condition_1,Table2[Tell us about the suitability of your appointment time?],A116)</f>
        <v>0</v>
      </c>
      <c r="C116" s="17" t="e">
        <f t="shared" ref="C116:C120" si="15">B116/No_who_answered_survey*100</f>
        <v>#DIV/0!</v>
      </c>
      <c r="D116" s="17" t="e">
        <f>B116/(No_who_answered_survey-COUNTIFS(Table2[Which of the following primary care team services did you attend today?],Condition_1,Table2[Tell us about the suitability of your appointment time?],"Not answered"))*100</f>
        <v>#DIV/0!</v>
      </c>
    </row>
    <row r="117" spans="1:4" ht="45">
      <c r="A117" s="15" t="str">
        <f>'Validation List'!J8</f>
        <v>I would have preferred an appointment time from 12pm-1pm.</v>
      </c>
      <c r="B117" s="16">
        <f>COUNTIFS(Table2[Which of the following primary care team services did you attend today?],Condition_1,Table2[Tell us about the suitability of your appointment time?],A117)</f>
        <v>0</v>
      </c>
      <c r="C117" s="17" t="e">
        <f t="shared" si="15"/>
        <v>#DIV/0!</v>
      </c>
      <c r="D117" s="17" t="e">
        <f>B117/(No_who_answered_survey-COUNTIFS(Table2[Which of the following primary care team services did you attend today?],Condition_1,Table2[Tell us about the suitability of your appointment time?],"Not answered"))*100</f>
        <v>#DIV/0!</v>
      </c>
    </row>
    <row r="118" spans="1:4" ht="45">
      <c r="A118" s="15" t="str">
        <f>'Validation List'!J9</f>
        <v>I would have preferred an appointment time from 1pm-2pm.</v>
      </c>
      <c r="B118" s="16">
        <f>COUNTIFS(Table2[Which of the following primary care team services did you attend today?],Condition_1,Table2[Tell us about the suitability of your appointment time?],A118)</f>
        <v>0</v>
      </c>
      <c r="C118" s="17" t="e">
        <f t="shared" si="15"/>
        <v>#DIV/0!</v>
      </c>
      <c r="D118" s="17" t="e">
        <f>B118/(No_who_answered_survey-COUNTIFS(Table2[Which of the following primary care team services did you attend today?],Condition_1,Table2[Tell us about the suitability of your appointment time?],"Not answered"))*100</f>
        <v>#DIV/0!</v>
      </c>
    </row>
    <row r="119" spans="1:4" ht="45">
      <c r="A119" s="15" t="str">
        <f>'Validation List'!J10</f>
        <v>I would have preferred an appointment time after 5pm.</v>
      </c>
      <c r="B119" s="16">
        <f>COUNTIFS(Table2[Which of the following primary care team services did you attend today?],Condition_1,Table2[Tell us about the suitability of your appointment time?],A119)</f>
        <v>0</v>
      </c>
      <c r="C119" s="17" t="e">
        <f t="shared" si="15"/>
        <v>#DIV/0!</v>
      </c>
      <c r="D119" s="17" t="e">
        <f>B119/(No_who_answered_survey-COUNTIFS(Table2[Which of the following primary care team services did you attend today?],Condition_1,Table2[Tell us about the suitability of your appointment time?],"Not answered"))*100</f>
        <v>#DIV/0!</v>
      </c>
    </row>
    <row r="120" spans="1:4">
      <c r="A120" s="15" t="str">
        <f>'Validation List'!J15</f>
        <v>Not answered</v>
      </c>
      <c r="B120" s="16">
        <f>COUNTIFS(Table2[Which of the following primary care team services did you attend today?],Condition_1,Table2[Tell us about the suitability of your appointment time?],A120)</f>
        <v>0</v>
      </c>
      <c r="C120" s="17" t="e">
        <f t="shared" si="15"/>
        <v>#DIV/0!</v>
      </c>
      <c r="D120" s="17"/>
    </row>
    <row r="121" spans="1:4">
      <c r="A121" s="15" t="s">
        <v>39</v>
      </c>
      <c r="B121" s="16">
        <f>SUM(B115:B120)</f>
        <v>0</v>
      </c>
      <c r="C121" s="17" t="e">
        <f>SUM(C115:C120)</f>
        <v>#DIV/0!</v>
      </c>
      <c r="D121" s="17" t="e">
        <f>SUM(D115:D120)</f>
        <v>#DIV/0!</v>
      </c>
    </row>
    <row r="122" spans="1:4">
      <c r="A122" s="18"/>
      <c r="B122" s="13"/>
      <c r="C122" s="22"/>
      <c r="D122" s="22"/>
    </row>
    <row r="123" spans="1:4">
      <c r="A123" s="18"/>
      <c r="B123" s="13"/>
      <c r="C123" s="22"/>
      <c r="D123" s="22"/>
    </row>
    <row r="124" spans="1:4" ht="27" customHeight="1">
      <c r="A124" s="47" t="str">
        <f>'Validation List'!K3</f>
        <v>Ease of access and use of the building during visit</v>
      </c>
      <c r="B124" s="48"/>
      <c r="C124" s="48"/>
      <c r="D124" s="49"/>
    </row>
    <row r="125" spans="1:4">
      <c r="A125" s="15"/>
      <c r="B125" s="16" t="s">
        <v>37</v>
      </c>
      <c r="C125" s="17" t="s">
        <v>38</v>
      </c>
      <c r="D125" s="17" t="s">
        <v>42</v>
      </c>
    </row>
    <row r="126" spans="1:4">
      <c r="A126" s="15" t="str">
        <f>'Validation List'!K6</f>
        <v>Very easy</v>
      </c>
      <c r="B126" s="16">
        <f>COUNTIFS(Table2[Which of the following primary care team services did you attend today?],Condition_1,Table2[How easy was it for you to access and use the building during your visit?],A126)</f>
        <v>0</v>
      </c>
      <c r="C126" s="17" t="e">
        <f t="shared" ref="C126" si="16">B126/No_who_answered_survey*100</f>
        <v>#DIV/0!</v>
      </c>
      <c r="D126" s="17" t="e">
        <f>B126/(No_who_answered_survey-COUNTIFS(Table2[Which of the following primary care team services did you attend today?],Condition_1,Table2[How easy was it for you to access and use the building during your visit?],"Not answered")-COUNTIFS(Table2[Which of the following primary care team services did you attend today?],Condition_1,Table2[How easy was it for you to access and use the building during your visit?],"N/A"))*100</f>
        <v>#DIV/0!</v>
      </c>
    </row>
    <row r="127" spans="1:4">
      <c r="A127" s="15" t="str">
        <f>'Validation List'!K7</f>
        <v>Easy</v>
      </c>
      <c r="B127" s="16">
        <f>COUNTIFS(Table2[Which of the following primary care team services did you attend today?],Condition_1,Table2[How easy was it for you to access and use the building during your visit?],A127)</f>
        <v>0</v>
      </c>
      <c r="C127" s="17" t="e">
        <f t="shared" ref="C127:C131" si="17">B127/No_who_answered_survey*100</f>
        <v>#DIV/0!</v>
      </c>
      <c r="D127" s="17" t="e">
        <f>B127/(No_who_answered_survey-COUNTIFS(Table2[Which of the following primary care team services did you attend today?],Condition_1,Table2[How easy was it for you to access and use the building during your visit?],"Not answered")-COUNTIFS(Table2[Which of the following primary care team services did you attend today?],Condition_1,Table2[How easy was it for you to access and use the building during your visit?],"N/A"))*100</f>
        <v>#DIV/0!</v>
      </c>
    </row>
    <row r="128" spans="1:4">
      <c r="A128" s="15" t="str">
        <f>'Validation List'!K8</f>
        <v>Difficult</v>
      </c>
      <c r="B128" s="16">
        <f>COUNTIFS(Table2[Which of the following primary care team services did you attend today?],Condition_1,Table2[How easy was it for you to access and use the building during your visit?],A128)</f>
        <v>0</v>
      </c>
      <c r="C128" s="17" t="e">
        <f t="shared" si="17"/>
        <v>#DIV/0!</v>
      </c>
      <c r="D128" s="17" t="e">
        <f>B128/(No_who_answered_survey-COUNTIFS(Table2[Which of the following primary care team services did you attend today?],Condition_1,Table2[How easy was it for you to access and use the building during your visit?],"Not answered")-COUNTIFS(Table2[Which of the following primary care team services did you attend today?],Condition_1,Table2[How easy was it for you to access and use the building during your visit?],"N/A"))*100</f>
        <v>#DIV/0!</v>
      </c>
    </row>
    <row r="129" spans="1:4">
      <c r="A129" s="15" t="str">
        <f>'Validation List'!K9</f>
        <v>Very difficult</v>
      </c>
      <c r="B129" s="16">
        <f>COUNTIFS(Table2[Which of the following primary care team services did you attend today?],Condition_1,Table2[How easy was it for you to access and use the building during your visit?],A129)</f>
        <v>0</v>
      </c>
      <c r="C129" s="17" t="e">
        <f t="shared" si="17"/>
        <v>#DIV/0!</v>
      </c>
      <c r="D129" s="17" t="e">
        <f>B129/(No_who_answered_survey-COUNTIFS(Table2[Which of the following primary care team services did you attend today?],Condition_1,Table2[How easy was it for you to access and use the building during your visit?],"Not answered")-COUNTIFS(Table2[Which of the following primary care team services did you attend today?],Condition_1,Table2[How easy was it for you to access and use the building during your visit?],"N/A"))*100</f>
        <v>#DIV/0!</v>
      </c>
    </row>
    <row r="130" spans="1:4">
      <c r="A130" s="15" t="str">
        <f>'Validation List'!K10</f>
        <v>N/A</v>
      </c>
      <c r="B130" s="16">
        <f>COUNTIFS(Table2[Which of the following primary care team services did you attend today?],Condition_1,Table2[How easy was it for you to access and use the building during your visit?],A130)</f>
        <v>0</v>
      </c>
      <c r="C130" s="17" t="e">
        <f t="shared" si="17"/>
        <v>#DIV/0!</v>
      </c>
      <c r="D130" s="17"/>
    </row>
    <row r="131" spans="1:4">
      <c r="A131" s="15" t="str">
        <f>'Validation List'!K15</f>
        <v>Not answered</v>
      </c>
      <c r="B131" s="16">
        <f>COUNTIFS(Table2[Which of the following primary care team services did you attend today?],Condition_1,Table2[How easy was it for you to access and use the building during your visit?],A131)</f>
        <v>0</v>
      </c>
      <c r="C131" s="17" t="e">
        <f t="shared" si="17"/>
        <v>#DIV/0!</v>
      </c>
      <c r="D131" s="17"/>
    </row>
    <row r="132" spans="1:4">
      <c r="A132" s="15" t="s">
        <v>39</v>
      </c>
      <c r="B132" s="16">
        <f>SUM(B126:B131)</f>
        <v>0</v>
      </c>
      <c r="C132" s="17" t="e">
        <f>SUM(C126:C131)</f>
        <v>#DIV/0!</v>
      </c>
      <c r="D132" s="17" t="e">
        <f>SUM(D126:D131)</f>
        <v>#DIV/0!</v>
      </c>
    </row>
    <row r="133" spans="1:4">
      <c r="A133" s="18"/>
      <c r="B133" s="13"/>
      <c r="C133" s="22"/>
      <c r="D133" s="22"/>
    </row>
    <row r="134" spans="1:4">
      <c r="A134" s="18"/>
      <c r="B134" s="13"/>
      <c r="C134" s="22"/>
      <c r="D134" s="22"/>
    </row>
    <row r="135" spans="1:4">
      <c r="A135" s="50" t="str">
        <f>'Validation List'!L3</f>
        <v>Buildings and facilities cleanliness and tidiness</v>
      </c>
      <c r="B135" s="50"/>
      <c r="C135" s="50"/>
      <c r="D135" s="51"/>
    </row>
    <row r="136" spans="1:4">
      <c r="A136" s="15"/>
      <c r="B136" s="16" t="s">
        <v>37</v>
      </c>
      <c r="C136" s="17" t="s">
        <v>38</v>
      </c>
      <c r="D136" s="17" t="s">
        <v>42</v>
      </c>
    </row>
    <row r="137" spans="1:4">
      <c r="A137" s="15" t="str">
        <f>'Validation List'!L6</f>
        <v>Yes</v>
      </c>
      <c r="B137" s="16">
        <f>COUNTIFS(Table2[Which of the following primary care team services did you attend today?],Condition_1,Table2[Were the buildings and facilities clean and tidy?],A137)</f>
        <v>0</v>
      </c>
      <c r="C137" s="17" t="e">
        <f t="shared" ref="C137" si="18">B137/No_who_answered_survey*100</f>
        <v>#DIV/0!</v>
      </c>
      <c r="D137" s="17" t="e">
        <f>B137/(No_who_answered_survey-COUNTIFS(Table2[Which of the following primary care team services did you attend today?],Condition_1,Table2[Were the buildings and facilities clean and tidy?],"Not answered")-COUNTIFS(Table2[Which of the following primary care team services did you attend today?],Condition_1,Table2[Were the buildings and facilities clean and tidy?],"N/A"))*100</f>
        <v>#DIV/0!</v>
      </c>
    </row>
    <row r="138" spans="1:4">
      <c r="A138" s="15" t="str">
        <f>'Validation List'!L7</f>
        <v>No</v>
      </c>
      <c r="B138" s="16">
        <f>COUNTIFS(Table2[Which of the following primary care team services did you attend today?],Condition_1,Table2[Were the buildings and facilities clean and tidy?],A138)</f>
        <v>0</v>
      </c>
      <c r="C138" s="17" t="e">
        <f t="shared" ref="C138:C140" si="19">B138/No_who_answered_survey*100</f>
        <v>#DIV/0!</v>
      </c>
      <c r="D138" s="17" t="e">
        <f>B138/(No_who_answered_survey-COUNTIFS(Table2[Which of the following primary care team services did you attend today?],Condition_1,Table2[Were the buildings and facilities clean and tidy?],"Not answered")-COUNTIFS(Table2[Which of the following primary care team services did you attend today?],Condition_1,Table2[Were the buildings and facilities clean and tidy?],"N/A"))*100</f>
        <v>#DIV/0!</v>
      </c>
    </row>
    <row r="139" spans="1:4">
      <c r="A139" s="15" t="str">
        <f>'Validation List'!L8</f>
        <v>N/A</v>
      </c>
      <c r="B139" s="16">
        <f>COUNTIFS(Table2[Which of the following primary care team services did you attend today?],Condition_1,Table2[Were the buildings and facilities clean and tidy?],A139)</f>
        <v>0</v>
      </c>
      <c r="C139" s="17" t="e">
        <f t="shared" si="19"/>
        <v>#DIV/0!</v>
      </c>
      <c r="D139" s="17"/>
    </row>
    <row r="140" spans="1:4">
      <c r="A140" s="15" t="str">
        <f>'Validation List'!L15</f>
        <v>Not answered</v>
      </c>
      <c r="B140" s="16">
        <f>COUNTIFS(Table2[Which of the following primary care team services did you attend today?],Condition_1,Table2[Were the buildings and facilities clean and tidy?],A140)</f>
        <v>0</v>
      </c>
      <c r="C140" s="17" t="e">
        <f t="shared" si="19"/>
        <v>#DIV/0!</v>
      </c>
      <c r="D140" s="17"/>
    </row>
    <row r="141" spans="1:4">
      <c r="A141" s="15" t="s">
        <v>39</v>
      </c>
      <c r="B141" s="16">
        <f>SUM(B137:B140)</f>
        <v>0</v>
      </c>
      <c r="C141" s="17" t="e">
        <f>SUM(C137:C140)</f>
        <v>#DIV/0!</v>
      </c>
      <c r="D141" s="17" t="e">
        <f>SUM(D137:D140)</f>
        <v>#DIV/0!</v>
      </c>
    </row>
    <row r="142" spans="1:4">
      <c r="A142" s="18"/>
      <c r="B142" s="13"/>
      <c r="C142" s="22"/>
      <c r="D142" s="22"/>
    </row>
    <row r="143" spans="1:4">
      <c r="A143" s="18"/>
      <c r="B143" s="13"/>
      <c r="C143" s="22"/>
      <c r="D143" s="22"/>
    </row>
    <row r="144" spans="1:4" ht="26.25" customHeight="1">
      <c r="A144" s="50" t="str">
        <f>'Validation List'!M3</f>
        <v>Time waiting to see the healthcare professional on day of survey</v>
      </c>
      <c r="B144" s="50"/>
      <c r="C144" s="50"/>
      <c r="D144" s="51"/>
    </row>
    <row r="145" spans="1:4">
      <c r="A145" s="15"/>
      <c r="B145" s="16" t="s">
        <v>37</v>
      </c>
      <c r="C145" s="17" t="s">
        <v>38</v>
      </c>
      <c r="D145" s="17" t="s">
        <v>42</v>
      </c>
    </row>
    <row r="146" spans="1:4">
      <c r="A146" s="15" t="str">
        <f>'Validation List'!M6</f>
        <v>Less than 15 minutes</v>
      </c>
      <c r="B146" s="16">
        <f>COUNTIFS(Table2[Which of the following primary care team services did you attend today?],Condition_1,Table2[How long did you spend waiting to see the healthcare professional today?],A146)</f>
        <v>0</v>
      </c>
      <c r="C146" s="17" t="e">
        <f t="shared" ref="C146" si="20">B146/No_who_answered_survey*100</f>
        <v>#DIV/0!</v>
      </c>
      <c r="D146" s="17" t="e">
        <f>B146/(No_who_answered_survey-COUNTIFS(Table2[Which of the following primary care team services did you attend today?],Condition_1,Table2[How long did you spend waiting to see the healthcare professional today?],"Not answered"))*100</f>
        <v>#DIV/0!</v>
      </c>
    </row>
    <row r="147" spans="1:4">
      <c r="A147" s="15" t="str">
        <f>'Validation List'!M7</f>
        <v>15 to 30 minutes</v>
      </c>
      <c r="B147" s="16">
        <f>COUNTIFS(Table2[Which of the following primary care team services did you attend today?],Condition_1,Table2[How long did you spend waiting to see the healthcare professional today?],A147)</f>
        <v>0</v>
      </c>
      <c r="C147" s="17" t="e">
        <f t="shared" ref="C147:C150" si="21">B147/No_who_answered_survey*100</f>
        <v>#DIV/0!</v>
      </c>
      <c r="D147" s="17" t="e">
        <f>B147/(No_who_answered_survey-COUNTIFS(Table2[Which of the following primary care team services did you attend today?],Condition_1,Table2[How long did you spend waiting to see the healthcare professional today?],"Not answered"))*100</f>
        <v>#DIV/0!</v>
      </c>
    </row>
    <row r="148" spans="1:4">
      <c r="A148" s="15" t="str">
        <f>'Validation List'!M8</f>
        <v>31 to 45 minutes</v>
      </c>
      <c r="B148" s="16">
        <f>COUNTIFS(Table2[Which of the following primary care team services did you attend today?],Condition_1,Table2[How long did you spend waiting to see the healthcare professional today?],A148)</f>
        <v>0</v>
      </c>
      <c r="C148" s="17" t="e">
        <f t="shared" si="21"/>
        <v>#DIV/0!</v>
      </c>
      <c r="D148" s="17" t="e">
        <f>B148/(No_who_answered_survey-COUNTIFS(Table2[Which of the following primary care team services did you attend today?],Condition_1,Table2[How long did you spend waiting to see the healthcare professional today?],"Not answered"))*100</f>
        <v>#DIV/0!</v>
      </c>
    </row>
    <row r="149" spans="1:4">
      <c r="A149" s="15" t="str">
        <f>'Validation List'!M9</f>
        <v>Over 45 minutes</v>
      </c>
      <c r="B149" s="16">
        <f>COUNTIFS(Table2[Which of the following primary care team services did you attend today?],Condition_1,Table2[How long did you spend waiting to see the healthcare professional today?],A149)</f>
        <v>0</v>
      </c>
      <c r="C149" s="17" t="e">
        <f t="shared" si="21"/>
        <v>#DIV/0!</v>
      </c>
      <c r="D149" s="17" t="e">
        <f>B149/(No_who_answered_survey-COUNTIFS(Table2[Which of the following primary care team services did you attend today?],Condition_1,Table2[How long did you spend waiting to see the healthcare professional today?],"Not answered"))*100</f>
        <v>#DIV/0!</v>
      </c>
    </row>
    <row r="150" spans="1:4">
      <c r="A150" s="15" t="str">
        <f>'Validation List'!M15</f>
        <v>Not answered</v>
      </c>
      <c r="B150" s="16">
        <f>COUNTIFS(Table2[Which of the following primary care team services did you attend today?],Condition_1,Table2[How long did you spend waiting to see the healthcare professional today?],A150)</f>
        <v>0</v>
      </c>
      <c r="C150" s="17" t="e">
        <f t="shared" si="21"/>
        <v>#DIV/0!</v>
      </c>
      <c r="D150" s="17"/>
    </row>
    <row r="151" spans="1:4">
      <c r="A151" s="15" t="s">
        <v>39</v>
      </c>
      <c r="B151" s="16">
        <f>SUM(B146:B150)</f>
        <v>0</v>
      </c>
      <c r="C151" s="17" t="e">
        <f>SUM(C146:C150)</f>
        <v>#DIV/0!</v>
      </c>
      <c r="D151" s="17" t="e">
        <f>SUM(D146:D150)</f>
        <v>#DIV/0!</v>
      </c>
    </row>
    <row r="152" spans="1:4">
      <c r="A152" s="18"/>
      <c r="B152" s="13"/>
      <c r="C152" s="22"/>
      <c r="D152" s="22"/>
    </row>
    <row r="153" spans="1:4">
      <c r="A153" s="18"/>
      <c r="B153" s="13"/>
      <c r="C153" s="22"/>
      <c r="D153" s="22"/>
    </row>
    <row r="154" spans="1:4">
      <c r="A154" s="50" t="str">
        <f>'Validation List'!N3</f>
        <v>Healthcare professional washed or cleaned their hands prior to patient contact</v>
      </c>
      <c r="B154" s="50"/>
      <c r="C154" s="50"/>
      <c r="D154" s="51"/>
    </row>
    <row r="155" spans="1:4">
      <c r="A155" s="15"/>
      <c r="B155" s="16" t="s">
        <v>37</v>
      </c>
      <c r="C155" s="17" t="s">
        <v>38</v>
      </c>
      <c r="D155" s="17" t="s">
        <v>42</v>
      </c>
    </row>
    <row r="156" spans="1:4">
      <c r="A156" s="15" t="str">
        <f>'Validation List'!N6</f>
        <v>Yes</v>
      </c>
      <c r="B156" s="16">
        <f>COUNTIFS(Table2[Which of the following primary care team services did you attend today?],Condition_1,Table2[Did the healthcare professional wash or clean their hands when coming into contact with you?],A156)</f>
        <v>0</v>
      </c>
      <c r="C156" s="17" t="e">
        <f t="shared" ref="C156:C159" si="22">B156/No_who_answered_survey*100</f>
        <v>#DIV/0!</v>
      </c>
      <c r="D156" s="17" t="e">
        <f>B156/(No_who_answered_survey-COUNTIFS(Table2[Which of the following primary care team services did you attend today?],Condition_1,Table2[Did the healthcare professional wash or clean their hands when coming into contact with you?],"Not answered"))*100</f>
        <v>#DIV/0!</v>
      </c>
    </row>
    <row r="157" spans="1:4">
      <c r="A157" s="15" t="str">
        <f>'Validation List'!N7</f>
        <v>No</v>
      </c>
      <c r="B157" s="16">
        <f>COUNTIFS(Table2[Which of the following primary care team services did you attend today?],Condition_1,Table2[Did the healthcare professional wash or clean their hands when coming into contact with you?],A157)</f>
        <v>0</v>
      </c>
      <c r="C157" s="17" t="e">
        <f t="shared" si="22"/>
        <v>#DIV/0!</v>
      </c>
      <c r="D157" s="17" t="e">
        <f>B157/(No_who_answered_survey-COUNTIFS(Table2[Which of the following primary care team services did you attend today?],Condition_1,Table2[Did the healthcare professional wash or clean their hands when coming into contact with you?],"Not answered"))*100</f>
        <v>#DIV/0!</v>
      </c>
    </row>
    <row r="158" spans="1:4">
      <c r="A158" s="15" t="str">
        <f>'Validation List'!N8</f>
        <v>Can't recall</v>
      </c>
      <c r="B158" s="16">
        <f>COUNTIFS(Table2[Which of the following primary care team services did you attend today?],Condition_1,Table2[Did the healthcare professional wash or clean their hands when coming into contact with you?],A158)</f>
        <v>0</v>
      </c>
      <c r="C158" s="17" t="e">
        <f t="shared" si="22"/>
        <v>#DIV/0!</v>
      </c>
      <c r="D158" s="17" t="e">
        <f>B158/(No_who_answered_survey-COUNTIFS(Table2[Which of the following primary care team services did you attend today?],Condition_1,Table2[Did the healthcare professional wash or clean their hands when coming into contact with you?],"Not answered"))*100</f>
        <v>#DIV/0!</v>
      </c>
    </row>
    <row r="159" spans="1:4">
      <c r="A159" s="15" t="str">
        <f>'Validation List'!N15</f>
        <v>Not answered</v>
      </c>
      <c r="B159" s="16">
        <f>COUNTIFS(Table2[Which of the following primary care team services did you attend today?],Condition_1,Table2[Did the healthcare professional wash or clean their hands when coming into contact with you?],A159)</f>
        <v>0</v>
      </c>
      <c r="C159" s="17" t="e">
        <f t="shared" si="22"/>
        <v>#DIV/0!</v>
      </c>
      <c r="D159" s="17"/>
    </row>
    <row r="160" spans="1:4">
      <c r="A160" s="15" t="s">
        <v>39</v>
      </c>
      <c r="B160" s="16">
        <f>SUM(B156:B159)</f>
        <v>0</v>
      </c>
      <c r="C160" s="17" t="e">
        <f>SUM(C156:C159)</f>
        <v>#DIV/0!</v>
      </c>
      <c r="D160" s="17" t="e">
        <f>SUM(D156:D159)</f>
        <v>#DIV/0!</v>
      </c>
    </row>
    <row r="161" spans="1:4">
      <c r="A161" s="18"/>
      <c r="B161" s="13"/>
      <c r="C161" s="22"/>
      <c r="D161" s="22"/>
    </row>
    <row r="162" spans="1:4">
      <c r="A162" s="18"/>
      <c r="B162" s="13"/>
      <c r="C162" s="22"/>
      <c r="D162" s="22"/>
    </row>
    <row r="163" spans="1:4">
      <c r="A163" s="50" t="str">
        <f>'Validation List'!O3</f>
        <v>Healthcare professional introduced themselves to patient</v>
      </c>
      <c r="B163" s="50"/>
      <c r="C163" s="50"/>
      <c r="D163" s="51"/>
    </row>
    <row r="164" spans="1:4">
      <c r="A164" s="15"/>
      <c r="B164" s="16" t="s">
        <v>37</v>
      </c>
      <c r="C164" s="17" t="s">
        <v>38</v>
      </c>
      <c r="D164" s="17" t="s">
        <v>42</v>
      </c>
    </row>
    <row r="165" spans="1:4">
      <c r="A165" s="15" t="str">
        <f>'Validation List'!O6</f>
        <v>Yes</v>
      </c>
      <c r="B165" s="16">
        <f>COUNTIFS(Table2[Which of the following primary care team services did you attend today?],Condition_1,Table2[Did the healthcare professional introduce themselves to you?],A165)</f>
        <v>0</v>
      </c>
      <c r="C165" s="17" t="e">
        <f t="shared" ref="C165:C168" si="23">B165/No_who_answered_survey*100</f>
        <v>#DIV/0!</v>
      </c>
      <c r="D165" s="17" t="e">
        <f>B165/(No_who_answered_survey-COUNTIFS(Table2[Which of the following primary care team services did you attend today?],Condition_1,Table2[Did the healthcare professional introduce themselves to you?],"Not answered"))*100</f>
        <v>#DIV/0!</v>
      </c>
    </row>
    <row r="166" spans="1:4">
      <c r="A166" s="15" t="str">
        <f>'Validation List'!O7</f>
        <v>No</v>
      </c>
      <c r="B166" s="16">
        <f>COUNTIFS(Table2[Which of the following primary care team services did you attend today?],Condition_1,Table2[Did the healthcare professional introduce themselves to you?],A166)</f>
        <v>0</v>
      </c>
      <c r="C166" s="17" t="e">
        <f t="shared" si="23"/>
        <v>#DIV/0!</v>
      </c>
      <c r="D166" s="17" t="e">
        <f>B166/(No_who_answered_survey-COUNTIFS(Table2[Which of the following primary care team services did you attend today?],Condition_1,Table2[Did the healthcare professional introduce themselves to you?],"Not answered"))*100</f>
        <v>#DIV/0!</v>
      </c>
    </row>
    <row r="167" spans="1:4">
      <c r="A167" s="15" t="str">
        <f>'Validation List'!O8</f>
        <v>Already known to me</v>
      </c>
      <c r="B167" s="16">
        <f>COUNTIFS(Table2[Which of the following primary care team services did you attend today?],Condition_1,Table2[Did the healthcare professional introduce themselves to you?],A167)</f>
        <v>0</v>
      </c>
      <c r="C167" s="17" t="e">
        <f t="shared" si="23"/>
        <v>#DIV/0!</v>
      </c>
      <c r="D167" s="17" t="e">
        <f>B167/(No_who_answered_survey-COUNTIFS(Table2[Which of the following primary care team services did you attend today?],Condition_1,Table2[Did the healthcare professional introduce themselves to you?],"Not answered"))*100</f>
        <v>#DIV/0!</v>
      </c>
    </row>
    <row r="168" spans="1:4">
      <c r="A168" s="15" t="str">
        <f>'Validation List'!O15</f>
        <v>Not answered</v>
      </c>
      <c r="B168" s="16">
        <f>COUNTIFS(Table2[Which of the following primary care team services did you attend today?],Condition_1,Table2[Did the healthcare professional introduce themselves to you?],A168)</f>
        <v>0</v>
      </c>
      <c r="C168" s="17" t="e">
        <f t="shared" si="23"/>
        <v>#DIV/0!</v>
      </c>
      <c r="D168" s="17"/>
    </row>
    <row r="169" spans="1:4">
      <c r="A169" s="15" t="s">
        <v>39</v>
      </c>
      <c r="B169" s="16">
        <f>SUM(B165:B168)</f>
        <v>0</v>
      </c>
      <c r="C169" s="17" t="e">
        <f>SUM(C165:C168)</f>
        <v>#DIV/0!</v>
      </c>
      <c r="D169" s="17" t="e">
        <f>SUM(D165:D168)</f>
        <v>#DIV/0!</v>
      </c>
    </row>
    <row r="170" spans="1:4">
      <c r="A170" s="18"/>
      <c r="B170" s="13"/>
      <c r="C170" s="22"/>
      <c r="D170" s="22"/>
    </row>
    <row r="171" spans="1:4">
      <c r="A171" s="18"/>
      <c r="B171" s="13"/>
      <c r="C171" s="22"/>
      <c r="D171" s="22"/>
    </row>
    <row r="172" spans="1:4" ht="27" customHeight="1">
      <c r="A172" s="50" t="str">
        <f>'Validation List'!P3</f>
        <v>Patient felt treated with kindness and respect during visit</v>
      </c>
      <c r="B172" s="50"/>
      <c r="C172" s="50"/>
      <c r="D172" s="51"/>
    </row>
    <row r="173" spans="1:4">
      <c r="A173" s="15"/>
      <c r="B173" s="16" t="s">
        <v>37</v>
      </c>
      <c r="C173" s="17" t="s">
        <v>38</v>
      </c>
      <c r="D173" s="17" t="s">
        <v>42</v>
      </c>
    </row>
    <row r="174" spans="1:4">
      <c r="A174" s="15" t="str">
        <f>'Validation List'!P6</f>
        <v>Yes</v>
      </c>
      <c r="B174" s="16">
        <f>COUNTIFS(Table2[Which of the following primary care team services did you attend today?],Condition_1,Table2[Were you treated with kindness and respect during your visit?],A174)</f>
        <v>0</v>
      </c>
      <c r="C174" s="17" t="e">
        <f t="shared" ref="C174:C176" si="24">B174/No_who_answered_survey*100</f>
        <v>#DIV/0!</v>
      </c>
      <c r="D174" s="17" t="e">
        <f>B174/(No_who_answered_survey-COUNTIFS(Table2[Which of the following primary care team services did you attend today?],Condition_1,Table2[Were you treated with kindness and respect during your visit?],"Not answered"))*100</f>
        <v>#DIV/0!</v>
      </c>
    </row>
    <row r="175" spans="1:4">
      <c r="A175" s="15" t="str">
        <f>'Validation List'!P7</f>
        <v>No</v>
      </c>
      <c r="B175" s="16">
        <f>COUNTIFS(Table2[Which of the following primary care team services did you attend today?],Condition_1,Table2[Were you treated with kindness and respect during your visit?],A175)</f>
        <v>0</v>
      </c>
      <c r="C175" s="17" t="e">
        <f t="shared" si="24"/>
        <v>#DIV/0!</v>
      </c>
      <c r="D175" s="17" t="e">
        <f>B175/(No_who_answered_survey-COUNTIFS(Table2[Which of the following primary care team services did you attend today?],Condition_1,Table2[Were you treated with kindness and respect during your visit?],"Not answered"))*100</f>
        <v>#DIV/0!</v>
      </c>
    </row>
    <row r="176" spans="1:4">
      <c r="A176" s="15" t="str">
        <f>'Validation List'!P15</f>
        <v>Not answered</v>
      </c>
      <c r="B176" s="16">
        <f>COUNTIFS(Table2[Which of the following primary care team services did you attend today?],Condition_1,Table2[Were you treated with kindness and respect during your visit?],A176)</f>
        <v>0</v>
      </c>
      <c r="C176" s="17" t="e">
        <f t="shared" si="24"/>
        <v>#DIV/0!</v>
      </c>
      <c r="D176" s="17"/>
    </row>
    <row r="177" spans="1:4">
      <c r="A177" s="15" t="s">
        <v>39</v>
      </c>
      <c r="B177" s="16">
        <f>SUM(B174:B176)</f>
        <v>0</v>
      </c>
      <c r="C177" s="17" t="e">
        <f>SUM(C174:C176)</f>
        <v>#DIV/0!</v>
      </c>
      <c r="D177" s="17" t="e">
        <f>SUM(D174:D176)</f>
        <v>#DIV/0!</v>
      </c>
    </row>
    <row r="178" spans="1:4">
      <c r="A178" s="18"/>
      <c r="B178" s="13"/>
      <c r="C178" s="22"/>
      <c r="D178" s="22"/>
    </row>
    <row r="179" spans="1:4">
      <c r="A179" s="18"/>
      <c r="B179" s="13"/>
      <c r="C179" s="22"/>
      <c r="D179" s="22"/>
    </row>
    <row r="180" spans="1:4" ht="20.25" customHeight="1">
      <c r="A180" s="47" t="str">
        <f>'Validation List'!Q3</f>
        <v>Satisfaction with the level of privacy provided during appointment</v>
      </c>
      <c r="B180" s="48"/>
      <c r="C180" s="48"/>
      <c r="D180" s="49"/>
    </row>
    <row r="181" spans="1:4">
      <c r="A181" s="15"/>
      <c r="B181" s="16" t="s">
        <v>37</v>
      </c>
      <c r="C181" s="17" t="s">
        <v>38</v>
      </c>
      <c r="D181" s="17" t="s">
        <v>42</v>
      </c>
    </row>
    <row r="182" spans="1:4">
      <c r="A182" s="15" t="str">
        <f>'Validation List'!Q6</f>
        <v>Yes</v>
      </c>
      <c r="B182" s="16">
        <f>COUNTIFS(Table2[Which of the following primary care team services did you attend today?],Condition_1,Table2[Were you satisfied with the level of privacy provided to you during your appointment?],A182)</f>
        <v>0</v>
      </c>
      <c r="C182" s="17" t="e">
        <f t="shared" ref="C182:C184" si="25">B182/No_who_answered_survey*100</f>
        <v>#DIV/0!</v>
      </c>
      <c r="D182" s="17" t="e">
        <f>B182/(No_who_answered_survey-COUNTIFS(Table2[Which of the following primary care team services did you attend today?],Condition_1,Table2[Were you satisfied with the level of privacy provided to you during your appointment?],"Not answered"))*100</f>
        <v>#DIV/0!</v>
      </c>
    </row>
    <row r="183" spans="1:4">
      <c r="A183" s="15" t="str">
        <f>'Validation List'!Q7</f>
        <v>No</v>
      </c>
      <c r="B183" s="16">
        <f>COUNTIFS(Table2[Which of the following primary care team services did you attend today?],Condition_1,Table2[Were you satisfied with the level of privacy provided to you during your appointment?],A183)</f>
        <v>0</v>
      </c>
      <c r="C183" s="17" t="e">
        <f t="shared" si="25"/>
        <v>#DIV/0!</v>
      </c>
      <c r="D183" s="17" t="e">
        <f>B183/(No_who_answered_survey-COUNTIFS(Table2[Which of the following primary care team services did you attend today?],Condition_1,Table2[Were you satisfied with the level of privacy provided to you during your appointment?],"Not answered"))*100</f>
        <v>#DIV/0!</v>
      </c>
    </row>
    <row r="184" spans="1:4">
      <c r="A184" s="15" t="str">
        <f>'Validation List'!Q15</f>
        <v>Not answered</v>
      </c>
      <c r="B184" s="16">
        <f>COUNTIFS(Table2[Which of the following primary care team services did you attend today?],Condition_1,Table2[Were you satisfied with the level of privacy provided to you during your appointment?],A184)</f>
        <v>0</v>
      </c>
      <c r="C184" s="17" t="e">
        <f t="shared" si="25"/>
        <v>#DIV/0!</v>
      </c>
      <c r="D184" s="17"/>
    </row>
    <row r="185" spans="1:4">
      <c r="A185" s="15" t="s">
        <v>39</v>
      </c>
      <c r="B185" s="16">
        <f>SUM(B182:B184)</f>
        <v>0</v>
      </c>
      <c r="C185" s="17" t="e">
        <f>SUM(C182:C184)</f>
        <v>#DIV/0!</v>
      </c>
      <c r="D185" s="17" t="e">
        <f>SUM(D182:D184)</f>
        <v>#DIV/0!</v>
      </c>
    </row>
    <row r="186" spans="1:4">
      <c r="A186" s="18"/>
      <c r="B186" s="13"/>
      <c r="C186" s="22"/>
      <c r="D186" s="22"/>
    </row>
    <row r="187" spans="1:4">
      <c r="A187" s="18"/>
      <c r="B187" s="13"/>
      <c r="C187" s="22"/>
      <c r="D187" s="22"/>
    </row>
    <row r="188" spans="1:4">
      <c r="A188" s="50" t="str">
        <f>'Validation List'!R3</f>
        <v>It was explained that, if relevant to overall care, patients information may be shared with other PCT members
about you with other members of the Primary Care Team?</v>
      </c>
      <c r="B188" s="50"/>
      <c r="C188" s="50"/>
      <c r="D188" s="51"/>
    </row>
    <row r="189" spans="1:4">
      <c r="A189" s="15"/>
      <c r="B189" s="16" t="s">
        <v>37</v>
      </c>
      <c r="C189" s="17" t="s">
        <v>38</v>
      </c>
      <c r="D189" s="17" t="s">
        <v>42</v>
      </c>
    </row>
    <row r="190" spans="1:4">
      <c r="A190" s="15" t="str">
        <f>'Validation List'!R6</f>
        <v>Yes</v>
      </c>
      <c r="B190" s="16">
        <f>COUNTIFS(Table2[Which of the following primary care team services did you attend today?],Condition_1,Table2[Was it explained to you that, if relevant to your overall care, we may need to share information
about you with other members of the Primary Care Team?],A190)</f>
        <v>0</v>
      </c>
      <c r="C190" s="17" t="e">
        <f t="shared" ref="C190:C193" si="26">B190/No_who_answered_survey*100</f>
        <v>#DIV/0!</v>
      </c>
      <c r="D190" s="17" t="e">
        <f>B190/(No_who_answered_survey-COUNTIFS(Table2[Which of the following primary care team services did you attend today?],Condition_1,Table2[Was it explained to you that, if relevant to your overall care, we may need to share information
about you with other members of the Primary Care Team?],"Not answered"))*100</f>
        <v>#DIV/0!</v>
      </c>
    </row>
    <row r="191" spans="1:4">
      <c r="A191" s="15" t="str">
        <f>'Validation List'!R7</f>
        <v>No</v>
      </c>
      <c r="B191" s="16">
        <f>COUNTIFS(Table2[Which of the following primary care team services did you attend today?],Condition_1,Table2[Was it explained to you that, if relevant to your overall care, we may need to share information
about you with other members of the Primary Care Team?],A191)</f>
        <v>0</v>
      </c>
      <c r="C191" s="17" t="e">
        <f t="shared" si="26"/>
        <v>#DIV/0!</v>
      </c>
      <c r="D191" s="17" t="e">
        <f>B191/(No_who_answered_survey-COUNTIFS(Table2[Which of the following primary care team services did you attend today?],Condition_1,Table2[Was it explained to you that, if relevant to your overall care, we may need to share information
about you with other members of the Primary Care Team?],"Not answered"))*100</f>
        <v>#DIV/0!</v>
      </c>
    </row>
    <row r="192" spans="1:4">
      <c r="A192" s="15" t="str">
        <f>'Validation List'!R8</f>
        <v>Not sure</v>
      </c>
      <c r="B192" s="16">
        <f>COUNTIFS(Table2[Which of the following primary care team services did you attend today?],Condition_1,Table2[Was it explained to you that, if relevant to your overall care, we may need to share information
about you with other members of the Primary Care Team?],A192)</f>
        <v>0</v>
      </c>
      <c r="C192" s="17" t="e">
        <f t="shared" si="26"/>
        <v>#DIV/0!</v>
      </c>
      <c r="D192" s="17" t="e">
        <f>B192/(No_who_answered_survey-COUNTIFS(Table2[Which of the following primary care team services did you attend today?],Condition_1,Table2[Was it explained to you that, if relevant to your overall care, we may need to share information
about you with other members of the Primary Care Team?],"Not answered"))*100</f>
        <v>#DIV/0!</v>
      </c>
    </row>
    <row r="193" spans="1:4">
      <c r="A193" s="15" t="str">
        <f>'Validation List'!R15</f>
        <v>Not answered</v>
      </c>
      <c r="B193" s="16">
        <f>COUNTIFS(Table2[Which of the following primary care team services did you attend today?],Condition_1,Table2[Was it explained to you that, if relevant to your overall care, we may need to share information
about you with other members of the Primary Care Team?],A193)</f>
        <v>0</v>
      </c>
      <c r="C193" s="17" t="e">
        <f t="shared" si="26"/>
        <v>#DIV/0!</v>
      </c>
      <c r="D193" s="17"/>
    </row>
    <row r="194" spans="1:4">
      <c r="A194" s="15" t="s">
        <v>39</v>
      </c>
      <c r="B194" s="16">
        <f>SUM(B190:B193)</f>
        <v>0</v>
      </c>
      <c r="C194" s="17" t="e">
        <f>SUM(C190:C193)</f>
        <v>#DIV/0!</v>
      </c>
      <c r="D194" s="17" t="e">
        <f>SUM(D190:D193)</f>
        <v>#DIV/0!</v>
      </c>
    </row>
    <row r="195" spans="1:4">
      <c r="A195" s="18"/>
      <c r="B195" s="13"/>
      <c r="C195" s="22"/>
      <c r="D195" s="22"/>
    </row>
    <row r="196" spans="1:4">
      <c r="A196" s="18"/>
      <c r="B196" s="13"/>
      <c r="C196" s="22"/>
      <c r="D196" s="22"/>
    </row>
    <row r="197" spans="1:4">
      <c r="A197" s="50" t="str">
        <f>'Validation List'!S3</f>
        <v>Advice and information provided during appointment was easy to understand</v>
      </c>
      <c r="B197" s="50"/>
      <c r="C197" s="50"/>
      <c r="D197" s="51"/>
    </row>
    <row r="198" spans="1:4">
      <c r="A198" s="15"/>
      <c r="B198" s="16" t="s">
        <v>37</v>
      </c>
      <c r="C198" s="17" t="s">
        <v>38</v>
      </c>
      <c r="D198" s="17" t="s">
        <v>42</v>
      </c>
    </row>
    <row r="199" spans="1:4">
      <c r="A199" s="15" t="str">
        <f>'Validation List'!S6</f>
        <v>Yes</v>
      </c>
      <c r="B199" s="16">
        <f>COUNTIFS(Table2[Which of the following primary care team services did you attend today?],Condition_1,Table2[Was the advice and information provided by the healthcare professional during your
appointment today easy to understand?],A199)</f>
        <v>0</v>
      </c>
      <c r="C199" s="17" t="e">
        <f t="shared" ref="C199:C202" si="27">B199/No_who_answered_survey*100</f>
        <v>#DIV/0!</v>
      </c>
      <c r="D199" s="17" t="e">
        <f>B199/(No_who_answered_survey-COUNTIFS(Table2[Which of the following primary care team services did you attend today?],Condition_1,Table2[Was the advice and information provided by the healthcare professional during your
appointment today easy to understand?],"Not answered")-COUNTIFS(Table2[Which of the following primary care team services did you attend today?],Condition_1,Table2[Was the advice and information provided by the healthcare professional during your
appointment today easy to understand?],"Not Applicable"))*100</f>
        <v>#DIV/0!</v>
      </c>
    </row>
    <row r="200" spans="1:4">
      <c r="A200" s="15" t="str">
        <f>'Validation List'!S7</f>
        <v>No</v>
      </c>
      <c r="B200" s="16">
        <f>COUNTIFS(Table2[Which of the following primary care team services did you attend today?],Condition_1,Table2[Was the advice and information provided by the healthcare professional during your
appointment today easy to understand?],A200)</f>
        <v>0</v>
      </c>
      <c r="C200" s="17" t="e">
        <f t="shared" si="27"/>
        <v>#DIV/0!</v>
      </c>
      <c r="D200" s="17" t="e">
        <f>B200/(No_who_answered_survey-COUNTIFS(Table2[Which of the following primary care team services did you attend today?],Condition_1,Table2[Was the advice and information provided by the healthcare professional during your
appointment today easy to understand?],"Not answered")-COUNTIFS(Table2[Which of the following primary care team services did you attend today?],Condition_1,Table2[Was the advice and information provided by the healthcare professional during your
appointment today easy to understand?],"Not Applicable"))*100</f>
        <v>#DIV/0!</v>
      </c>
    </row>
    <row r="201" spans="1:4">
      <c r="A201" s="15" t="str">
        <f>'Validation List'!S8</f>
        <v>Not Applicable</v>
      </c>
      <c r="B201" s="16">
        <f>COUNTIFS(Table2[Which of the following primary care team services did you attend today?],Condition_1,Table2[Was the advice and information provided by the healthcare professional during your
appointment today easy to understand?],A201)</f>
        <v>0</v>
      </c>
      <c r="C201" s="17" t="e">
        <f t="shared" si="27"/>
        <v>#DIV/0!</v>
      </c>
      <c r="D201" s="17"/>
    </row>
    <row r="202" spans="1:4">
      <c r="A202" s="15" t="str">
        <f>'Validation List'!S15</f>
        <v>Not answered</v>
      </c>
      <c r="B202" s="16">
        <f>COUNTIFS(Table2[Which of the following primary care team services did you attend today?],Condition_1,Table2[Was the advice and information provided by the healthcare professional during your
appointment today easy to understand?],A202)</f>
        <v>0</v>
      </c>
      <c r="C202" s="17" t="e">
        <f t="shared" si="27"/>
        <v>#DIV/0!</v>
      </c>
      <c r="D202" s="17"/>
    </row>
    <row r="203" spans="1:4">
      <c r="A203" s="15" t="s">
        <v>39</v>
      </c>
      <c r="B203" s="16">
        <f>SUM(B199:B202)</f>
        <v>0</v>
      </c>
      <c r="C203" s="17" t="e">
        <f>SUM(C199:C202)</f>
        <v>#DIV/0!</v>
      </c>
      <c r="D203" s="17" t="e">
        <f>SUM(D199:D202)</f>
        <v>#DIV/0!</v>
      </c>
    </row>
    <row r="204" spans="1:4">
      <c r="A204" s="18"/>
      <c r="B204" s="13"/>
      <c r="C204" s="22"/>
      <c r="D204" s="22"/>
    </row>
    <row r="205" spans="1:4">
      <c r="A205" s="18"/>
      <c r="B205" s="13"/>
      <c r="C205" s="22"/>
      <c r="D205" s="22"/>
    </row>
    <row r="206" spans="1:4">
      <c r="A206" s="47" t="str">
        <f>'Validation List'!T3</f>
        <v>Enough time provided during appointment to ask questions and discuss your health problems and concerns</v>
      </c>
      <c r="B206" s="48"/>
      <c r="C206" s="48"/>
      <c r="D206" s="49"/>
    </row>
    <row r="207" spans="1:4">
      <c r="A207" s="15"/>
      <c r="B207" s="16" t="s">
        <v>37</v>
      </c>
      <c r="C207" s="17" t="s">
        <v>38</v>
      </c>
      <c r="D207" s="17" t="s">
        <v>42</v>
      </c>
    </row>
    <row r="208" spans="1:4">
      <c r="A208" s="15" t="str">
        <f>'Validation List'!T6</f>
        <v>Yes</v>
      </c>
      <c r="B208" s="16">
        <f>COUNTIFS(Table2[Which of the following primary care team services did you attend today?],Condition_1,Table2[Did you have enough time during your appointment to ask questions and discuss your health
problems and concerns?],A208)</f>
        <v>0</v>
      </c>
      <c r="C208" s="17" t="e">
        <f t="shared" ref="C208:C210" si="28">B208/No_who_answered_survey*100</f>
        <v>#DIV/0!</v>
      </c>
      <c r="D208" s="17" t="e">
        <f>B208/(No_who_answered_survey-COUNTIFS(Table2[Which of the following primary care team services did you attend today?],Condition_1,Table2[Did you have enough time during your appointment to ask questions and discuss your health
problems and concerns?],"Not answered"))*100</f>
        <v>#DIV/0!</v>
      </c>
    </row>
    <row r="209" spans="1:4">
      <c r="A209" s="15" t="str">
        <f>'Validation List'!T7</f>
        <v>No</v>
      </c>
      <c r="B209" s="16">
        <f>COUNTIFS(Table2[Which of the following primary care team services did you attend today?],Condition_1,Table2[Did you have enough time during your appointment to ask questions and discuss your health
problems and concerns?],A209)</f>
        <v>0</v>
      </c>
      <c r="C209" s="17" t="e">
        <f t="shared" si="28"/>
        <v>#DIV/0!</v>
      </c>
      <c r="D209" s="17" t="e">
        <f>B209/(No_who_answered_survey-COUNTIFS(Table2[Which of the following primary care team services did you attend today?],Condition_1,Table2[Did you have enough time during your appointment to ask questions and discuss your health
problems and concerns?],"Not answered"))*100</f>
        <v>#DIV/0!</v>
      </c>
    </row>
    <row r="210" spans="1:4">
      <c r="A210" s="15" t="str">
        <f>'Validation List'!T15</f>
        <v>Not answered</v>
      </c>
      <c r="B210" s="16">
        <f>COUNTIFS(Table2[Which of the following primary care team services did you attend today?],Condition_1,Table2[Did you have enough time during your appointment to ask questions and discuss your health
problems and concerns?],A210)</f>
        <v>0</v>
      </c>
      <c r="C210" s="17" t="e">
        <f t="shared" si="28"/>
        <v>#DIV/0!</v>
      </c>
      <c r="D210" s="17"/>
    </row>
    <row r="211" spans="1:4">
      <c r="A211" s="15" t="s">
        <v>39</v>
      </c>
      <c r="B211" s="16">
        <f>SUM(B208:B210)</f>
        <v>0</v>
      </c>
      <c r="C211" s="17" t="e">
        <f>SUM(C208:C210)</f>
        <v>#DIV/0!</v>
      </c>
      <c r="D211" s="17" t="e">
        <f>SUM(D208:D210)</f>
        <v>#DIV/0!</v>
      </c>
    </row>
    <row r="212" spans="1:4">
      <c r="A212" s="18"/>
      <c r="B212" s="13"/>
      <c r="C212" s="22"/>
      <c r="D212" s="22"/>
    </row>
    <row r="213" spans="1:4">
      <c r="A213" s="18"/>
      <c r="B213" s="13"/>
      <c r="C213" s="22"/>
      <c r="D213" s="22"/>
    </row>
    <row r="214" spans="1:4" ht="27" customHeight="1">
      <c r="A214" s="47" t="str">
        <f>'Validation List'!U3</f>
        <v>Were you involved in making decisions about your care and treatment?</v>
      </c>
      <c r="B214" s="48"/>
      <c r="C214" s="48"/>
      <c r="D214" s="49"/>
    </row>
    <row r="215" spans="1:4">
      <c r="A215" s="15"/>
      <c r="B215" s="16" t="s">
        <v>37</v>
      </c>
      <c r="C215" s="17" t="s">
        <v>38</v>
      </c>
      <c r="D215" s="17" t="s">
        <v>42</v>
      </c>
    </row>
    <row r="216" spans="1:4">
      <c r="A216" s="15" t="str">
        <f>'Validation List'!U6</f>
        <v>Yes</v>
      </c>
      <c r="B216" s="16">
        <f>COUNTIFS(Table2[Which of the following primary care team services did you attend today?],Condition_1,Table2[Were you involved in making decisions about your care and treatment?],A216)</f>
        <v>0</v>
      </c>
      <c r="C216" s="17" t="e">
        <f t="shared" ref="C216:C218" si="29">B216/No_who_answered_survey*100</f>
        <v>#DIV/0!</v>
      </c>
      <c r="D216" s="17" t="e">
        <f>B216/(No_who_answered_survey-COUNTIFS(Table2[Which of the following primary care team services did you attend today?],Condition_1,Table2[Were you involved in making decisions about your care and treatment?],"Not answered"))*100</f>
        <v>#DIV/0!</v>
      </c>
    </row>
    <row r="217" spans="1:4">
      <c r="A217" s="15" t="str">
        <f>'Validation List'!U7</f>
        <v>No</v>
      </c>
      <c r="B217" s="16">
        <f>COUNTIFS(Table2[Which of the following primary care team services did you attend today?],Condition_1,Table2[Were you involved in making decisions about your care and treatment?],A217)</f>
        <v>0</v>
      </c>
      <c r="C217" s="17" t="e">
        <f t="shared" si="29"/>
        <v>#DIV/0!</v>
      </c>
      <c r="D217" s="17" t="e">
        <f>B217/(No_who_answered_survey-COUNTIFS(Table2[Which of the following primary care team services did you attend today?],Condition_1,Table2[Were you involved in making decisions about your care and treatment?],"Not answered"))*100</f>
        <v>#DIV/0!</v>
      </c>
    </row>
    <row r="218" spans="1:4">
      <c r="A218" s="15" t="str">
        <f>'Validation List'!U15</f>
        <v>Not answered</v>
      </c>
      <c r="B218" s="16">
        <f>COUNTIFS(Table2[Which of the following primary care team services did you attend today?],Condition_1,Table2[Were you involved in making decisions about your care and treatment?],A218)</f>
        <v>0</v>
      </c>
      <c r="C218" s="17" t="e">
        <f t="shared" si="29"/>
        <v>#DIV/0!</v>
      </c>
      <c r="D218" s="17"/>
    </row>
    <row r="219" spans="1:4">
      <c r="A219" s="15" t="s">
        <v>39</v>
      </c>
      <c r="B219" s="16">
        <f>SUM(B216:B218)</f>
        <v>0</v>
      </c>
      <c r="C219" s="17" t="e">
        <f>SUM(C216:C218)</f>
        <v>#DIV/0!</v>
      </c>
      <c r="D219" s="17" t="e">
        <f>SUM(D216:D218)</f>
        <v>#DIV/0!</v>
      </c>
    </row>
    <row r="220" spans="1:4">
      <c r="A220" s="18"/>
      <c r="B220" s="13"/>
      <c r="C220" s="22"/>
      <c r="D220" s="22"/>
    </row>
    <row r="221" spans="1:4">
      <c r="A221" s="18"/>
      <c r="B221" s="13"/>
      <c r="C221" s="22"/>
      <c r="D221" s="22"/>
    </row>
    <row r="222" spans="1:4">
      <c r="A222" s="47" t="str">
        <f>'Validation List'!V3</f>
        <v>Information or advice received on Quitting smoking during your visit</v>
      </c>
      <c r="B222" s="48"/>
      <c r="C222" s="48"/>
      <c r="D222" s="49"/>
    </row>
    <row r="223" spans="1:4">
      <c r="A223" s="15"/>
      <c r="B223" s="16" t="s">
        <v>37</v>
      </c>
      <c r="C223" s="17" t="s">
        <v>38</v>
      </c>
      <c r="D223" s="17" t="s">
        <v>42</v>
      </c>
    </row>
    <row r="224" spans="1:4">
      <c r="A224" s="15" t="str">
        <f>'Validation List'!V6</f>
        <v>Yes</v>
      </c>
      <c r="B224" s="16">
        <f>COUNTIFS(Table2[Which of the following primary care team services did you attend today?],Condition_1,Table2[Did you receive information or advice on Quitting smoking during your visit today?],A224)</f>
        <v>0</v>
      </c>
      <c r="C224" s="17" t="e">
        <f t="shared" ref="C224:C227" si="30">B224/No_who_answered_survey*100</f>
        <v>#DIV/0!</v>
      </c>
      <c r="D224" s="17" t="e">
        <f>B224/(No_who_answered_survey-COUNTIFS(Table2[Which of the following primary care team services did you attend today?],Condition_1,Table2[Did you receive information or advice on Quitting smoking during your visit today?],"Not answered")-COUNTIFS(Table2[Which of the following primary care team services did you attend today?],Condition_1,Table2[Did you receive information or advice on Quitting smoking during your visit today?],"Not Applicable"))*100</f>
        <v>#DIV/0!</v>
      </c>
    </row>
    <row r="225" spans="1:4">
      <c r="A225" s="15" t="str">
        <f>'Validation List'!V7</f>
        <v>No</v>
      </c>
      <c r="B225" s="16">
        <f>COUNTIFS(Table2[Which of the following primary care team services did you attend today?],Condition_1,Table2[Did you receive information or advice on Quitting smoking during your visit today?],A225)</f>
        <v>0</v>
      </c>
      <c r="C225" s="17" t="e">
        <f t="shared" si="30"/>
        <v>#DIV/0!</v>
      </c>
      <c r="D225" s="17" t="e">
        <f>B225/(No_who_answered_survey-COUNTIFS(Table2[Which of the following primary care team services did you attend today?],Condition_1,Table2[Did you receive information or advice on Quitting smoking during your visit today?],"Not answered")-COUNTIFS(Table2[Which of the following primary care team services did you attend today?],Condition_1,Table2[Did you receive information or advice on Quitting smoking during your visit today?],"Not Applicable"))*100</f>
        <v>#DIV/0!</v>
      </c>
    </row>
    <row r="226" spans="1:4">
      <c r="A226" s="15" t="str">
        <f>'Validation List'!V8</f>
        <v>Not Applicable</v>
      </c>
      <c r="B226" s="16">
        <f>COUNTIFS(Table2[Which of the following primary care team services did you attend today?],Condition_1,Table2[Did you receive information or advice on Quitting smoking during your visit today?],A226)</f>
        <v>0</v>
      </c>
      <c r="C226" s="17" t="e">
        <f t="shared" si="30"/>
        <v>#DIV/0!</v>
      </c>
      <c r="D226" s="17"/>
    </row>
    <row r="227" spans="1:4">
      <c r="A227" s="15" t="str">
        <f>'Validation List'!V15</f>
        <v>Not answered</v>
      </c>
      <c r="B227" s="16">
        <f>COUNTIFS(Table2[Which of the following primary care team services did you attend today?],Condition_1,Table2[Did you receive information or advice on Quitting smoking during your visit today?],A227)</f>
        <v>0</v>
      </c>
      <c r="C227" s="17" t="e">
        <f t="shared" si="30"/>
        <v>#DIV/0!</v>
      </c>
      <c r="D227" s="17"/>
    </row>
    <row r="228" spans="1:4">
      <c r="A228" s="15" t="s">
        <v>39</v>
      </c>
      <c r="B228" s="16">
        <f>SUM(B224:B227)</f>
        <v>0</v>
      </c>
      <c r="C228" s="17" t="e">
        <f>SUM(C224:C227)</f>
        <v>#DIV/0!</v>
      </c>
      <c r="D228" s="17" t="e">
        <f>SUM(D224:D227)</f>
        <v>#DIV/0!</v>
      </c>
    </row>
    <row r="229" spans="1:4">
      <c r="A229" s="18"/>
      <c r="B229" s="13"/>
      <c r="C229" s="22"/>
      <c r="D229" s="22"/>
    </row>
    <row r="230" spans="1:4">
      <c r="A230" s="18"/>
      <c r="B230" s="13"/>
      <c r="C230" s="22"/>
      <c r="D230" s="22"/>
    </row>
    <row r="231" spans="1:4">
      <c r="A231" s="50" t="str">
        <f>'Validation List'!W3</f>
        <v>Information or advice received  on Losing weight during your visit today</v>
      </c>
      <c r="B231" s="50"/>
      <c r="C231" s="50"/>
      <c r="D231" s="51"/>
    </row>
    <row r="232" spans="1:4">
      <c r="A232" s="15"/>
      <c r="B232" s="16" t="s">
        <v>37</v>
      </c>
      <c r="C232" s="17" t="s">
        <v>38</v>
      </c>
      <c r="D232" s="17" t="s">
        <v>42</v>
      </c>
    </row>
    <row r="233" spans="1:4">
      <c r="A233" s="15" t="str">
        <f>'Validation List'!W6</f>
        <v>Yes</v>
      </c>
      <c r="B233" s="16">
        <f>COUNTIFS(Table2[Which of the following primary care team services did you attend today?],Condition_1,Table2[Did you receive information or advice on Losing weight during your visit today?],A233)</f>
        <v>0</v>
      </c>
      <c r="C233" s="17" t="e">
        <f t="shared" ref="C233:C236" si="31">B233/No_who_answered_survey*100</f>
        <v>#DIV/0!</v>
      </c>
      <c r="D233" s="17" t="e">
        <f>B233/(No_who_answered_survey-COUNTIFS(Table2[Which of the following primary care team services did you attend today?],Condition_1,Table2[Did you receive information or advice on Losing weight during your visit today?],"Not answered")-COUNTIFS(Table2[Which of the following primary care team services did you attend today?],Condition_1,Table2[Did you receive information or advice on Losing weight during your visit today?],"Not Applicable"))*100</f>
        <v>#DIV/0!</v>
      </c>
    </row>
    <row r="234" spans="1:4">
      <c r="A234" s="15" t="str">
        <f>'Validation List'!W7</f>
        <v>No</v>
      </c>
      <c r="B234" s="16">
        <f>COUNTIFS(Table2[Which of the following primary care team services did you attend today?],Condition_1,Table2[Did you receive information or advice on Losing weight during your visit today?],A234)</f>
        <v>0</v>
      </c>
      <c r="C234" s="17" t="e">
        <f t="shared" si="31"/>
        <v>#DIV/0!</v>
      </c>
      <c r="D234" s="17" t="e">
        <f>B234/(No_who_answered_survey-COUNTIFS(Table2[Which of the following primary care team services did you attend today?],Condition_1,Table2[Did you receive information or advice on Losing weight during your visit today?],"Not answered")-COUNTIFS(Table2[Which of the following primary care team services did you attend today?],Condition_1,Table2[Did you receive information or advice on Losing weight during your visit today?],"Not Applicable"))*100</f>
        <v>#DIV/0!</v>
      </c>
    </row>
    <row r="235" spans="1:4">
      <c r="A235" s="15" t="str">
        <f>'Validation List'!W8</f>
        <v>Not Applicable</v>
      </c>
      <c r="B235" s="16">
        <f>COUNTIFS(Table2[Which of the following primary care team services did you attend today?],Condition_1,Table2[Did you receive information or advice on Losing weight during your visit today?],A235)</f>
        <v>0</v>
      </c>
      <c r="C235" s="17" t="e">
        <f t="shared" si="31"/>
        <v>#DIV/0!</v>
      </c>
      <c r="D235" s="17"/>
    </row>
    <row r="236" spans="1:4">
      <c r="A236" s="15" t="str">
        <f>'Validation List'!W15</f>
        <v>Not answered</v>
      </c>
      <c r="B236" s="16">
        <f>COUNTIFS(Table2[Which of the following primary care team services did you attend today?],Condition_1,Table2[Did you receive information or advice on Losing weight during your visit today?],A236)</f>
        <v>0</v>
      </c>
      <c r="C236" s="17" t="e">
        <f t="shared" si="31"/>
        <v>#DIV/0!</v>
      </c>
      <c r="D236" s="17"/>
    </row>
    <row r="237" spans="1:4">
      <c r="A237" s="15" t="s">
        <v>39</v>
      </c>
      <c r="B237" s="16">
        <f>SUM(B233:B236)</f>
        <v>0</v>
      </c>
      <c r="C237" s="17" t="e">
        <f>SUM(C233:C236)</f>
        <v>#DIV/0!</v>
      </c>
      <c r="D237" s="17" t="e">
        <f>SUM(D233:D236)</f>
        <v>#DIV/0!</v>
      </c>
    </row>
    <row r="238" spans="1:4">
      <c r="A238" s="18"/>
      <c r="B238" s="13"/>
      <c r="C238" s="22"/>
      <c r="D238" s="22"/>
    </row>
    <row r="239" spans="1:4">
      <c r="A239" s="18"/>
      <c r="B239" s="13"/>
      <c r="C239" s="22"/>
      <c r="D239" s="22"/>
    </row>
    <row r="240" spans="1:4">
      <c r="A240" s="50" t="str">
        <f>'Validation List'!X3</f>
        <v>Information or advice received  on Nutrition and healthy eating during your visit</v>
      </c>
      <c r="B240" s="50"/>
      <c r="C240" s="50"/>
      <c r="D240" s="51"/>
    </row>
    <row r="241" spans="1:4">
      <c r="A241" s="15"/>
      <c r="B241" s="16" t="s">
        <v>37</v>
      </c>
      <c r="C241" s="17" t="s">
        <v>38</v>
      </c>
      <c r="D241" s="17" t="s">
        <v>42</v>
      </c>
    </row>
    <row r="242" spans="1:4">
      <c r="A242" s="15" t="str">
        <f>'Validation List'!X6</f>
        <v>Yes</v>
      </c>
      <c r="B242" s="16">
        <f>COUNTIFS(Table2[Which of the following primary care team services did you attend today?],Condition_1,Table2[Did you receive information or advice on Nutrition and healthy eating during your visit today?],A242)</f>
        <v>0</v>
      </c>
      <c r="C242" s="17" t="e">
        <f t="shared" ref="C242:C245" si="32">B242/No_who_answered_survey*100</f>
        <v>#DIV/0!</v>
      </c>
      <c r="D242" s="17" t="e">
        <f>B242/(No_who_answered_survey-COUNTIFS(Table2[Which of the following primary care team services did you attend today?],Condition_1,Table2[Did you receive information or advice on Nutrition and healthy eating during your visit today?],"Not answered")-COUNTIFS(Table2[Which of the following primary care team services did you attend today?],Condition_1,Table2[Did you receive information or advice on Nutrition and healthy eating during your visit today?],"Not Applicable"))*100</f>
        <v>#DIV/0!</v>
      </c>
    </row>
    <row r="243" spans="1:4">
      <c r="A243" s="15" t="str">
        <f>'Validation List'!X7</f>
        <v>No</v>
      </c>
      <c r="B243" s="16">
        <f>COUNTIFS(Table2[Which of the following primary care team services did you attend today?],Condition_1,Table2[Did you receive information or advice on Nutrition and healthy eating during your visit today?],A243)</f>
        <v>0</v>
      </c>
      <c r="C243" s="17" t="e">
        <f t="shared" si="32"/>
        <v>#DIV/0!</v>
      </c>
      <c r="D243" s="17" t="e">
        <f>B243/(No_who_answered_survey-COUNTIFS(Table2[Which of the following primary care team services did you attend today?],Condition_1,Table2[Did you receive information or advice on Nutrition and healthy eating during your visit today?],"Not answered")-COUNTIFS(Table2[Which of the following primary care team services did you attend today?],Condition_1,Table2[Did you receive information or advice on Nutrition and healthy eating during your visit today?],"Not Applicable"))*100</f>
        <v>#DIV/0!</v>
      </c>
    </row>
    <row r="244" spans="1:4">
      <c r="A244" s="15" t="str">
        <f>'Validation List'!X8</f>
        <v>Not Applicable</v>
      </c>
      <c r="B244" s="16">
        <f>COUNTIFS(Table2[Which of the following primary care team services did you attend today?],Condition_1,Table2[Did you receive information or advice on Nutrition and healthy eating during your visit today?],A244)</f>
        <v>0</v>
      </c>
      <c r="C244" s="17" t="e">
        <f t="shared" si="32"/>
        <v>#DIV/0!</v>
      </c>
      <c r="D244" s="17"/>
    </row>
    <row r="245" spans="1:4">
      <c r="A245" s="15" t="str">
        <f>'Validation List'!X15</f>
        <v>Not answered</v>
      </c>
      <c r="B245" s="16">
        <f>COUNTIFS(Table2[Which of the following primary care team services did you attend today?],Condition_1,Table2[Did you receive information or advice on Nutrition and healthy eating during your visit today?],A245)</f>
        <v>0</v>
      </c>
      <c r="C245" s="17" t="e">
        <f t="shared" si="32"/>
        <v>#DIV/0!</v>
      </c>
      <c r="D245" s="17"/>
    </row>
    <row r="246" spans="1:4">
      <c r="A246" s="15" t="s">
        <v>39</v>
      </c>
      <c r="B246" s="16">
        <f>SUM(B242:B245)</f>
        <v>0</v>
      </c>
      <c r="C246" s="17" t="e">
        <f>SUM(C242:C245)</f>
        <v>#DIV/0!</v>
      </c>
      <c r="D246" s="17" t="e">
        <f>SUM(D242:D245)</f>
        <v>#DIV/0!</v>
      </c>
    </row>
    <row r="247" spans="1:4">
      <c r="A247" s="18"/>
      <c r="B247" s="13"/>
      <c r="C247" s="22"/>
      <c r="D247" s="22"/>
    </row>
    <row r="248" spans="1:4">
      <c r="A248" s="18"/>
      <c r="B248" s="13"/>
      <c r="C248" s="22"/>
      <c r="D248" s="22"/>
    </row>
    <row r="249" spans="1:4">
      <c r="A249" s="50" t="str">
        <f>'Validation List'!Y3</f>
        <v>Information or advice received on Physical activity during your visit today</v>
      </c>
      <c r="B249" s="50"/>
      <c r="C249" s="50"/>
      <c r="D249" s="51"/>
    </row>
    <row r="250" spans="1:4">
      <c r="A250" s="15"/>
      <c r="B250" s="16" t="s">
        <v>37</v>
      </c>
      <c r="C250" s="17" t="s">
        <v>38</v>
      </c>
      <c r="D250" s="17" t="s">
        <v>42</v>
      </c>
    </row>
    <row r="251" spans="1:4">
      <c r="A251" s="15" t="str">
        <f>'Validation List'!Y6</f>
        <v>Yes</v>
      </c>
      <c r="B251" s="16">
        <f>COUNTIFS(Table2[Which of the following primary care team services did you attend today?],Condition_1,Table2[Did you receive information or advice on Physical activity during your visit today?],A251)</f>
        <v>0</v>
      </c>
      <c r="C251" s="17" t="e">
        <f t="shared" ref="C251:C254" si="33">B251/No_who_answered_survey*100</f>
        <v>#DIV/0!</v>
      </c>
      <c r="D251" s="17" t="e">
        <f>B251/(No_who_answered_survey-COUNTIFS(Table2[Which of the following primary care team services did you attend today?],Condition_1,Table2[Did you receive information or advice on Physical activity during your visit today?],"Not answered")-COUNTIFS(Table2[Which of the following primary care team services did you attend today?],Condition_1,Table2[Did you receive information or advice on Physical activity during your visit today?],"Not Applicable"))*100</f>
        <v>#DIV/0!</v>
      </c>
    </row>
    <row r="252" spans="1:4">
      <c r="A252" s="15" t="str">
        <f>'Validation List'!Y7</f>
        <v>No</v>
      </c>
      <c r="B252" s="16">
        <f>COUNTIFS(Table2[Which of the following primary care team services did you attend today?],Condition_1,Table2[Did you receive information or advice on Physical activity during your visit today?],A252)</f>
        <v>0</v>
      </c>
      <c r="C252" s="17" t="e">
        <f t="shared" si="33"/>
        <v>#DIV/0!</v>
      </c>
      <c r="D252" s="17" t="e">
        <f>B252/(No_who_answered_survey-COUNTIFS(Table2[Which of the following primary care team services did you attend today?],Condition_1,Table2[Did you receive information or advice on Physical activity during your visit today?],"Not answered")-COUNTIFS(Table2[Which of the following primary care team services did you attend today?],Condition_1,Table2[Did you receive information or advice on Physical activity during your visit today?],"Not Applicable"))*100</f>
        <v>#DIV/0!</v>
      </c>
    </row>
    <row r="253" spans="1:4">
      <c r="A253" s="15" t="str">
        <f>'Validation List'!Y8</f>
        <v>Not Applicable</v>
      </c>
      <c r="B253" s="16">
        <f>COUNTIFS(Table2[Which of the following primary care team services did you attend today?],Condition_1,Table2[Did you receive information or advice on Physical activity during your visit today?],A253)</f>
        <v>0</v>
      </c>
      <c r="C253" s="17" t="e">
        <f t="shared" si="33"/>
        <v>#DIV/0!</v>
      </c>
      <c r="D253" s="17"/>
    </row>
    <row r="254" spans="1:4">
      <c r="A254" s="15" t="str">
        <f>'Validation List'!Y15</f>
        <v>Not answered</v>
      </c>
      <c r="B254" s="16">
        <f>COUNTIFS(Table2[Which of the following primary care team services did you attend today?],Condition_1,Table2[Did you receive information or advice on Physical activity during your visit today?],A254)</f>
        <v>0</v>
      </c>
      <c r="C254" s="17" t="e">
        <f t="shared" si="33"/>
        <v>#DIV/0!</v>
      </c>
      <c r="D254" s="17"/>
    </row>
    <row r="255" spans="1:4">
      <c r="A255" s="15" t="s">
        <v>39</v>
      </c>
      <c r="B255" s="16">
        <f>SUM(B251:B254)</f>
        <v>0</v>
      </c>
      <c r="C255" s="17" t="e">
        <f>SUM(C251:C254)</f>
        <v>#DIV/0!</v>
      </c>
      <c r="D255" s="17" t="e">
        <f>SUM(D251:D254)</f>
        <v>#DIV/0!</v>
      </c>
    </row>
    <row r="256" spans="1:4">
      <c r="A256" s="18"/>
      <c r="B256" s="13"/>
      <c r="C256" s="22"/>
      <c r="D256" s="22"/>
    </row>
    <row r="257" spans="1:4">
      <c r="A257" s="18"/>
      <c r="B257" s="13"/>
      <c r="C257" s="22"/>
      <c r="D257" s="22"/>
    </row>
    <row r="258" spans="1:4">
      <c r="A258" s="50" t="str">
        <f>'Validation List'!Z3</f>
        <v xml:space="preserve">Information or advice received on Alcohol use during your visit </v>
      </c>
      <c r="B258" s="50"/>
      <c r="C258" s="50"/>
      <c r="D258" s="51"/>
    </row>
    <row r="259" spans="1:4">
      <c r="A259" s="15"/>
      <c r="B259" s="16" t="s">
        <v>37</v>
      </c>
      <c r="C259" s="17" t="s">
        <v>38</v>
      </c>
      <c r="D259" s="17" t="s">
        <v>42</v>
      </c>
    </row>
    <row r="260" spans="1:4">
      <c r="A260" s="15" t="str">
        <f>'Validation List'!Z6</f>
        <v>Yes</v>
      </c>
      <c r="B260" s="16">
        <f>COUNTIFS(Table2[Which of the following primary care team services did you attend today?],Condition_1,Table2[Did you receive information or advice on Alcohol use during your visit today?],A260)</f>
        <v>0</v>
      </c>
      <c r="C260" s="17" t="e">
        <f t="shared" ref="C260:C263" si="34">B260/No_who_answered_survey*100</f>
        <v>#DIV/0!</v>
      </c>
      <c r="D260" s="17" t="e">
        <f>B260/(No_who_answered_survey-COUNTIFS(Table2[Which of the following primary care team services did you attend today?],Condition_1,Table2[Did you receive information or advice on Alcohol use during your visit today?],"Not answered")-COUNTIFS(Table2[Which of the following primary care team services did you attend today?],Condition_1,Table2[Did you receive information or advice on Alcohol use during your visit today?],"Not Applicable"))*100</f>
        <v>#DIV/0!</v>
      </c>
    </row>
    <row r="261" spans="1:4">
      <c r="A261" s="15" t="str">
        <f>'Validation List'!Z7</f>
        <v>No</v>
      </c>
      <c r="B261" s="16">
        <f>COUNTIFS(Table2[Which of the following primary care team services did you attend today?],Condition_1,Table2[Did you receive information or advice on Alcohol use during your visit today?],A261)</f>
        <v>0</v>
      </c>
      <c r="C261" s="17" t="e">
        <f t="shared" si="34"/>
        <v>#DIV/0!</v>
      </c>
      <c r="D261" s="17" t="e">
        <f>B261/(No_who_answered_survey-COUNTIFS(Table2[Which of the following primary care team services did you attend today?],Condition_1,Table2[Did you receive information or advice on Alcohol use during your visit today?],"Not answered")-COUNTIFS(Table2[Which of the following primary care team services did you attend today?],Condition_1,Table2[Did you receive information or advice on Alcohol use during your visit today?],"Not Applicable"))*100</f>
        <v>#DIV/0!</v>
      </c>
    </row>
    <row r="262" spans="1:4">
      <c r="A262" s="15" t="str">
        <f>'Validation List'!Z8</f>
        <v>Not Applicable</v>
      </c>
      <c r="B262" s="16">
        <f>COUNTIFS(Table2[Which of the following primary care team services did you attend today?],Condition_1,Table2[Did you receive information or advice on Alcohol use during your visit today?],A262)</f>
        <v>0</v>
      </c>
      <c r="C262" s="17" t="e">
        <f t="shared" si="34"/>
        <v>#DIV/0!</v>
      </c>
      <c r="D262" s="17"/>
    </row>
    <row r="263" spans="1:4">
      <c r="A263" s="15" t="str">
        <f>'Validation List'!Z15</f>
        <v>Not answered</v>
      </c>
      <c r="B263" s="16">
        <f>COUNTIFS(Table2[Which of the following primary care team services did you attend today?],Condition_1,Table2[Did you receive information or advice on Alcohol use during your visit today?],A263)</f>
        <v>0</v>
      </c>
      <c r="C263" s="17" t="e">
        <f t="shared" si="34"/>
        <v>#DIV/0!</v>
      </c>
      <c r="D263" s="17"/>
    </row>
    <row r="264" spans="1:4">
      <c r="A264" s="15" t="s">
        <v>39</v>
      </c>
      <c r="B264" s="16">
        <f>SUM(B260:B263)</f>
        <v>0</v>
      </c>
      <c r="C264" s="17" t="e">
        <f>SUM(C260:C263)</f>
        <v>#DIV/0!</v>
      </c>
      <c r="D264" s="17" t="e">
        <f>SUM(D260:D263)</f>
        <v>#DIV/0!</v>
      </c>
    </row>
    <row r="265" spans="1:4">
      <c r="A265" s="18"/>
      <c r="B265" s="13"/>
      <c r="C265" s="22"/>
      <c r="D265" s="22"/>
    </row>
    <row r="266" spans="1:4">
      <c r="A266" s="18"/>
      <c r="B266" s="13"/>
      <c r="C266" s="22"/>
      <c r="D266" s="22"/>
    </row>
    <row r="267" spans="1:4" ht="30" customHeight="1">
      <c r="A267" s="47" t="str">
        <f>'Validation List'!AA3</f>
        <v>Information or advice received Mental health and wellbeing during your visit</v>
      </c>
      <c r="B267" s="48"/>
      <c r="C267" s="48"/>
      <c r="D267" s="49"/>
    </row>
    <row r="268" spans="1:4">
      <c r="A268" s="15"/>
      <c r="B268" s="16" t="s">
        <v>37</v>
      </c>
      <c r="C268" s="17" t="s">
        <v>38</v>
      </c>
      <c r="D268" s="17" t="s">
        <v>42</v>
      </c>
    </row>
    <row r="269" spans="1:4">
      <c r="A269" s="15" t="str">
        <f>'Validation List'!AA6</f>
        <v>Yes</v>
      </c>
      <c r="B269" s="16">
        <f>COUNTIFS(Table2[Which of the following primary care team services did you attend today?],Condition_1,Table2[Did you receive information or advice on Mental health and wellbeing during your visit today?],A269)</f>
        <v>0</v>
      </c>
      <c r="C269" s="17" t="e">
        <f t="shared" ref="C269:C272" si="35">B269/No_who_answered_survey*100</f>
        <v>#DIV/0!</v>
      </c>
      <c r="D269" s="17" t="e">
        <f>B269/(No_who_answered_survey-COUNTIFS(Table2[Which of the following primary care team services did you attend today?],Condition_1,Table2[Did you receive information or advice on Mental health and wellbeing during your visit today?],"Not answered")-COUNTIFS(Table2[Which of the following primary care team services did you attend today?],Condition_1,Table2[Did you receive information or advice on Mental health and wellbeing during your visit today?],"Not Applicable"))*100</f>
        <v>#DIV/0!</v>
      </c>
    </row>
    <row r="270" spans="1:4">
      <c r="A270" s="15" t="str">
        <f>'Validation List'!AA7</f>
        <v>No</v>
      </c>
      <c r="B270" s="16">
        <f>COUNTIFS(Table2[Which of the following primary care team services did you attend today?],Condition_1,Table2[Did you receive information or advice on Mental health and wellbeing during your visit today?],A270)</f>
        <v>0</v>
      </c>
      <c r="C270" s="17" t="e">
        <f t="shared" si="35"/>
        <v>#DIV/0!</v>
      </c>
      <c r="D270" s="17" t="e">
        <f>B270/(No_who_answered_survey-COUNTIFS(Table2[Which of the following primary care team services did you attend today?],Condition_1,Table2[Did you receive information or advice on Mental health and wellbeing during your visit today?],"Not answered")-COUNTIFS(Table2[Which of the following primary care team services did you attend today?],Condition_1,Table2[Did you receive information or advice on Mental health and wellbeing during your visit today?],"Not Applicable"))*100</f>
        <v>#DIV/0!</v>
      </c>
    </row>
    <row r="271" spans="1:4">
      <c r="A271" s="15" t="str">
        <f>'Validation List'!AA8</f>
        <v>Not Applicable</v>
      </c>
      <c r="B271" s="16">
        <f>COUNTIFS(Table2[Which of the following primary care team services did you attend today?],Condition_1,Table2[Did you receive information or advice on Mental health and wellbeing during your visit today?],A271)</f>
        <v>0</v>
      </c>
      <c r="C271" s="17" t="e">
        <f t="shared" si="35"/>
        <v>#DIV/0!</v>
      </c>
      <c r="D271" s="17"/>
    </row>
    <row r="272" spans="1:4">
      <c r="A272" s="15" t="str">
        <f>'Validation List'!AA15</f>
        <v>Not answered</v>
      </c>
      <c r="B272" s="16">
        <f>COUNTIFS(Table2[Which of the following primary care team services did you attend today?],Condition_1,Table2[Did you receive information or advice on Mental health and wellbeing during your visit today?],A272)</f>
        <v>0</v>
      </c>
      <c r="C272" s="17" t="e">
        <f t="shared" si="35"/>
        <v>#DIV/0!</v>
      </c>
      <c r="D272" s="17"/>
    </row>
    <row r="273" spans="1:4">
      <c r="A273" s="15" t="s">
        <v>39</v>
      </c>
      <c r="B273" s="16">
        <f>SUM(B269:B272)</f>
        <v>0</v>
      </c>
      <c r="C273" s="17" t="e">
        <f>SUM(C269:C272)</f>
        <v>#DIV/0!</v>
      </c>
      <c r="D273" s="17" t="e">
        <f>SUM(D269:D272)</f>
        <v>#DIV/0!</v>
      </c>
    </row>
    <row r="274" spans="1:4">
      <c r="A274" s="18"/>
      <c r="B274" s="13"/>
      <c r="C274" s="22"/>
      <c r="D274" s="22"/>
    </row>
    <row r="275" spans="1:4">
      <c r="A275" s="18"/>
      <c r="B275" s="13"/>
      <c r="C275" s="22"/>
      <c r="D275" s="22"/>
    </row>
    <row r="276" spans="1:4" ht="27" customHeight="1">
      <c r="A276" s="47" t="str">
        <f>'Validation List'!AB3</f>
        <v>Information or advice received on Dementia during your visit</v>
      </c>
      <c r="B276" s="48"/>
      <c r="C276" s="48"/>
      <c r="D276" s="49"/>
    </row>
    <row r="277" spans="1:4">
      <c r="A277" s="15"/>
      <c r="B277" s="16" t="s">
        <v>37</v>
      </c>
      <c r="C277" s="17" t="s">
        <v>38</v>
      </c>
      <c r="D277" s="17" t="s">
        <v>42</v>
      </c>
    </row>
    <row r="278" spans="1:4">
      <c r="A278" s="15" t="str">
        <f>'Validation List'!AB6</f>
        <v>Yes</v>
      </c>
      <c r="B278" s="16">
        <f>COUNTIFS(Table2[Which of the following primary care team services did you attend today?],Condition_1,Table2[Did you receive information or advice on Dementia during your visit today?],A278)</f>
        <v>0</v>
      </c>
      <c r="C278" s="17" t="e">
        <f t="shared" ref="C278:C281" si="36">B278/No_who_answered_survey*100</f>
        <v>#DIV/0!</v>
      </c>
      <c r="D278" s="17" t="e">
        <f>B278/(No_who_answered_survey-COUNTIFS(Table2[Which of the following primary care team services did you attend today?],Condition_1,Table2[Did you receive information or advice on Dementia during your visit today?],"Not answered")-COUNTIFS(Table2[Which of the following primary care team services did you attend today?],Condition_1,Table2[Did you receive information or advice on Dementia during your visit today?],"Not Applicable"))*100</f>
        <v>#DIV/0!</v>
      </c>
    </row>
    <row r="279" spans="1:4">
      <c r="A279" s="15" t="str">
        <f>'Validation List'!AB7</f>
        <v>No</v>
      </c>
      <c r="B279" s="16">
        <f>COUNTIFS(Table2[Which of the following primary care team services did you attend today?],Condition_1,Table2[Did you receive information or advice on Dementia during your visit today?],A279)</f>
        <v>0</v>
      </c>
      <c r="C279" s="17" t="e">
        <f t="shared" si="36"/>
        <v>#DIV/0!</v>
      </c>
      <c r="D279" s="17" t="e">
        <f>B279/(No_who_answered_survey-COUNTIFS(Table2[Which of the following primary care team services did you attend today?],Condition_1,Table2[Did you receive information or advice on Dementia during your visit today?],"Not answered")-COUNTIFS(Table2[Which of the following primary care team services did you attend today?],Condition_1,Table2[Did you receive information or advice on Dementia during your visit today?],"Not Applicable"))*100</f>
        <v>#DIV/0!</v>
      </c>
    </row>
    <row r="280" spans="1:4">
      <c r="A280" s="15" t="str">
        <f>'Validation List'!AB8</f>
        <v>Not Applicable</v>
      </c>
      <c r="B280" s="16">
        <f>COUNTIFS(Table2[Which of the following primary care team services did you attend today?],Condition_1,Table2[Did you receive information or advice on Dementia during your visit today?],A280)</f>
        <v>0</v>
      </c>
      <c r="C280" s="17" t="e">
        <f t="shared" si="36"/>
        <v>#DIV/0!</v>
      </c>
      <c r="D280" s="17"/>
    </row>
    <row r="281" spans="1:4">
      <c r="A281" s="15" t="str">
        <f>'Validation List'!AB15</f>
        <v>Not answered</v>
      </c>
      <c r="B281" s="16">
        <f>COUNTIFS(Table2[Which of the following primary care team services did you attend today?],Condition_1,Table2[Did you receive information or advice on Dementia during your visit today?],A281)</f>
        <v>0</v>
      </c>
      <c r="C281" s="17" t="e">
        <f t="shared" si="36"/>
        <v>#DIV/0!</v>
      </c>
      <c r="D281" s="17"/>
    </row>
    <row r="282" spans="1:4">
      <c r="A282" s="15" t="s">
        <v>39</v>
      </c>
      <c r="B282" s="16">
        <f>SUM(B278:B281)</f>
        <v>0</v>
      </c>
      <c r="C282" s="17" t="e">
        <f>SUM(C278:C281)</f>
        <v>#DIV/0!</v>
      </c>
      <c r="D282" s="17" t="e">
        <f>SUM(D278:D281)</f>
        <v>#DIV/0!</v>
      </c>
    </row>
    <row r="283" spans="1:4">
      <c r="A283" s="18"/>
      <c r="B283" s="13"/>
      <c r="C283" s="22"/>
      <c r="D283" s="22"/>
    </row>
    <row r="284" spans="1:4">
      <c r="A284" s="18"/>
      <c r="B284" s="13"/>
      <c r="C284" s="22"/>
      <c r="D284" s="22"/>
    </row>
    <row r="285" spans="1:4" ht="30" customHeight="1">
      <c r="A285" s="47" t="str">
        <f>'Validation List'!AC3</f>
        <v>Information or advice received on Falls prevention during your visit</v>
      </c>
      <c r="B285" s="48"/>
      <c r="C285" s="48"/>
      <c r="D285" s="49"/>
    </row>
    <row r="286" spans="1:4">
      <c r="A286" s="15"/>
      <c r="B286" s="16" t="s">
        <v>37</v>
      </c>
      <c r="C286" s="17" t="s">
        <v>38</v>
      </c>
      <c r="D286" s="17" t="s">
        <v>42</v>
      </c>
    </row>
    <row r="287" spans="1:4">
      <c r="A287" s="15" t="str">
        <f>'Validation List'!AC6</f>
        <v>Yes</v>
      </c>
      <c r="B287" s="16">
        <f>COUNTIFS(Table2[Which of the following primary care team services did you attend today?],Condition_1,Table2[Did you receive information or advice on Falls prevention during your visit today?],A287)</f>
        <v>0</v>
      </c>
      <c r="C287" s="17" t="e">
        <f t="shared" ref="C287:C290" si="37">B287/No_who_answered_survey*100</f>
        <v>#DIV/0!</v>
      </c>
      <c r="D287" s="17" t="e">
        <f>B287/(No_who_answered_survey-COUNTIFS(Table2[Which of the following primary care team services did you attend today?],Condition_1,Table2[Did you receive information or advice on Falls prevention during your visit today?],"Not answered")-COUNTIFS(Table2[Which of the following primary care team services did you attend today?],Condition_1,Table2[Did you receive information or advice on Falls prevention during your visit today?],"Not Applicable"))*100</f>
        <v>#DIV/0!</v>
      </c>
    </row>
    <row r="288" spans="1:4">
      <c r="A288" s="15" t="str">
        <f>'Validation List'!AC7</f>
        <v>No</v>
      </c>
      <c r="B288" s="16">
        <f>COUNTIFS(Table2[Which of the following primary care team services did you attend today?],Condition_1,Table2[Did you receive information or advice on Falls prevention during your visit today?],A288)</f>
        <v>0</v>
      </c>
      <c r="C288" s="17" t="e">
        <f t="shared" si="37"/>
        <v>#DIV/0!</v>
      </c>
      <c r="D288" s="17" t="e">
        <f>B288/(No_who_answered_survey-COUNTIFS(Table2[Which of the following primary care team services did you attend today?],Condition_1,Table2[Did you receive information or advice on Falls prevention during your visit today?],"Not answered")-COUNTIFS(Table2[Which of the following primary care team services did you attend today?],Condition_1,Table2[Did you receive information or advice on Falls prevention during your visit today?],"Not Applicable"))*100</f>
        <v>#DIV/0!</v>
      </c>
    </row>
    <row r="289" spans="1:4">
      <c r="A289" s="15" t="str">
        <f>'Validation List'!AC8</f>
        <v>Not Applicable</v>
      </c>
      <c r="B289" s="16">
        <f>COUNTIFS(Table2[Which of the following primary care team services did you attend today?],Condition_1,Table2[Did you receive information or advice on Falls prevention during your visit today?],A289)</f>
        <v>0</v>
      </c>
      <c r="C289" s="17" t="e">
        <f t="shared" si="37"/>
        <v>#DIV/0!</v>
      </c>
      <c r="D289" s="17"/>
    </row>
    <row r="290" spans="1:4">
      <c r="A290" s="15" t="str">
        <f>'Validation List'!AC15</f>
        <v>Not answered</v>
      </c>
      <c r="B290" s="16">
        <f>COUNTIFS(Table2[Which of the following primary care team services did you attend today?],Condition_1,Table2[Did you receive information or advice on Falls prevention during your visit today?],A290)</f>
        <v>0</v>
      </c>
      <c r="C290" s="17" t="e">
        <f t="shared" si="37"/>
        <v>#DIV/0!</v>
      </c>
      <c r="D290" s="17"/>
    </row>
    <row r="291" spans="1:4">
      <c r="A291" s="15" t="s">
        <v>39</v>
      </c>
      <c r="B291" s="16">
        <f>SUM(B287:B290)</f>
        <v>0</v>
      </c>
      <c r="C291" s="17" t="e">
        <f>SUM(C287:C290)</f>
        <v>#DIV/0!</v>
      </c>
      <c r="D291" s="17" t="e">
        <f>SUM(D287:D290)</f>
        <v>#DIV/0!</v>
      </c>
    </row>
    <row r="292" spans="1:4">
      <c r="A292" s="18"/>
      <c r="B292" s="13"/>
      <c r="C292" s="22"/>
      <c r="D292" s="22"/>
    </row>
    <row r="293" spans="1:4">
      <c r="A293" s="18"/>
      <c r="B293" s="13"/>
      <c r="C293" s="22"/>
      <c r="D293" s="22"/>
    </row>
    <row r="294" spans="1:4" ht="26.25" customHeight="1">
      <c r="A294" s="47" t="str">
        <f>'Validation List'!AD3</f>
        <v>Information or advice received on Drug use during your visit</v>
      </c>
      <c r="B294" s="48"/>
      <c r="C294" s="48"/>
      <c r="D294" s="49"/>
    </row>
    <row r="295" spans="1:4">
      <c r="A295" s="15"/>
      <c r="B295" s="16" t="s">
        <v>37</v>
      </c>
      <c r="C295" s="17" t="s">
        <v>38</v>
      </c>
      <c r="D295" s="17" t="s">
        <v>42</v>
      </c>
    </row>
    <row r="296" spans="1:4">
      <c r="A296" s="15" t="str">
        <f>'Validation List'!AD6</f>
        <v>Yes</v>
      </c>
      <c r="B296" s="16">
        <f>COUNTIFS(Table2[Which of the following primary care team services did you attend today?],Condition_1,Table2[Did you receive information or advice on Drug use during your visit today?],A296)</f>
        <v>0</v>
      </c>
      <c r="C296" s="17" t="e">
        <f t="shared" ref="C296:C299" si="38">B296/No_who_answered_survey*100</f>
        <v>#DIV/0!</v>
      </c>
      <c r="D296" s="17" t="e">
        <f>B296/(No_who_answered_survey-COUNTIFS(Table2[Which of the following primary care team services did you attend today?],Condition_1,Table2[Did you receive information or advice on Drug use during your visit today?],"Not answered")-COUNTIFS(Table2[Which of the following primary care team services did you attend today?],Condition_1,Table2[Did you receive information or advice on Drug use during your visit today?],"Not Applicable"))*100</f>
        <v>#DIV/0!</v>
      </c>
    </row>
    <row r="297" spans="1:4">
      <c r="A297" s="15" t="str">
        <f>'Validation List'!AD7</f>
        <v>No</v>
      </c>
      <c r="B297" s="16">
        <f>COUNTIFS(Table2[Which of the following primary care team services did you attend today?],Condition_1,Table2[Did you receive information or advice on Drug use during your visit today?],A297)</f>
        <v>0</v>
      </c>
      <c r="C297" s="17" t="e">
        <f t="shared" si="38"/>
        <v>#DIV/0!</v>
      </c>
      <c r="D297" s="17" t="e">
        <f>B297/(No_who_answered_survey-COUNTIFS(Table2[Which of the following primary care team services did you attend today?],Condition_1,Table2[Did you receive information or advice on Drug use during your visit today?],"Not answered")-COUNTIFS(Table2[Which of the following primary care team services did you attend today?],Condition_1,Table2[Did you receive information or advice on Drug use during your visit today?],"Not Applicable"))*100</f>
        <v>#DIV/0!</v>
      </c>
    </row>
    <row r="298" spans="1:4">
      <c r="A298" s="15" t="str">
        <f>'Validation List'!AD8</f>
        <v>Not Applicable</v>
      </c>
      <c r="B298" s="16">
        <f>COUNTIFS(Table2[Which of the following primary care team services did you attend today?],Condition_1,Table2[Did you receive information or advice on Drug use during your visit today?],A298)</f>
        <v>0</v>
      </c>
      <c r="C298" s="17" t="e">
        <f t="shared" si="38"/>
        <v>#DIV/0!</v>
      </c>
      <c r="D298" s="17"/>
    </row>
    <row r="299" spans="1:4">
      <c r="A299" s="15" t="str">
        <f>'Validation List'!AD15</f>
        <v>Not answered</v>
      </c>
      <c r="B299" s="16">
        <f>COUNTIFS(Table2[Which of the following primary care team services did you attend today?],Condition_1,Table2[Did you receive information or advice on Drug use during your visit today?],A299)</f>
        <v>0</v>
      </c>
      <c r="C299" s="17" t="e">
        <f t="shared" si="38"/>
        <v>#DIV/0!</v>
      </c>
      <c r="D299" s="17"/>
    </row>
    <row r="300" spans="1:4">
      <c r="A300" s="15" t="s">
        <v>39</v>
      </c>
      <c r="B300" s="16">
        <f>SUM(B296:B299)</f>
        <v>0</v>
      </c>
      <c r="C300" s="17" t="e">
        <f>SUM(C296:C299)</f>
        <v>#DIV/0!</v>
      </c>
      <c r="D300" s="17" t="e">
        <f>SUM(D296:D299)</f>
        <v>#DIV/0!</v>
      </c>
    </row>
    <row r="301" spans="1:4">
      <c r="A301" s="18"/>
      <c r="B301" s="13"/>
      <c r="C301" s="22"/>
      <c r="D301" s="22"/>
    </row>
    <row r="302" spans="1:4">
      <c r="A302" s="18"/>
      <c r="B302" s="13"/>
      <c r="C302" s="22"/>
      <c r="D302" s="22"/>
    </row>
    <row r="303" spans="1:4" ht="28.5" customHeight="1">
      <c r="A303" s="47" t="str">
        <f>'Validation List'!AE3</f>
        <v>Information or advice received on Other issues during your visit today</v>
      </c>
      <c r="B303" s="48"/>
      <c r="C303" s="48"/>
      <c r="D303" s="49"/>
    </row>
    <row r="304" spans="1:4">
      <c r="A304" s="15"/>
      <c r="B304" s="16" t="s">
        <v>37</v>
      </c>
      <c r="C304" s="17" t="s">
        <v>38</v>
      </c>
      <c r="D304" s="17" t="s">
        <v>42</v>
      </c>
    </row>
    <row r="305" spans="1:4">
      <c r="A305" s="15" t="str">
        <f>'Validation List'!AE6</f>
        <v>Yes</v>
      </c>
      <c r="B305" s="16">
        <f>COUNTIFS(Table2[Which of the following primary care team services did you attend today?],Condition_1,Table2[Did you receive other information or advice during your visit today?],A305)</f>
        <v>0</v>
      </c>
      <c r="C305" s="17" t="e">
        <f t="shared" ref="C305:C308" si="39">B305/No_who_answered_survey*100</f>
        <v>#DIV/0!</v>
      </c>
      <c r="D305" s="17" t="e">
        <f>B305/(No_who_answered_survey-COUNTIFS(Table2[Which of the following primary care team services did you attend today?],Condition_1,Table2[Did you receive other information or advice during your visit today?],"Not answered")-COUNTIFS(Table2[Which of the following primary care team services did you attend today?],Condition_1,Table2[Did you receive other information or advice during your visit today?],"Not Applicable"))*100</f>
        <v>#DIV/0!</v>
      </c>
    </row>
    <row r="306" spans="1:4">
      <c r="A306" s="15" t="str">
        <f>'Validation List'!AE7</f>
        <v>No</v>
      </c>
      <c r="B306" s="16">
        <f>COUNTIFS(Table2[Which of the following primary care team services did you attend today?],Condition_1,Table2[Did you receive other information or advice during your visit today?],A306)</f>
        <v>0</v>
      </c>
      <c r="C306" s="17" t="e">
        <f t="shared" si="39"/>
        <v>#DIV/0!</v>
      </c>
      <c r="D306" s="17" t="e">
        <f>B306/(No_who_answered_survey-COUNTIFS(Table2[Which of the following primary care team services did you attend today?],Condition_1,Table2[Did you receive other information or advice during your visit today?],"Not answered")-COUNTIFS(Table2[Which of the following primary care team services did you attend today?],Condition_1,Table2[Did you receive other information or advice during your visit today?],"Not Applicable"))*100</f>
        <v>#DIV/0!</v>
      </c>
    </row>
    <row r="307" spans="1:4">
      <c r="A307" s="15" t="str">
        <f>'Validation List'!AE8</f>
        <v>Not Applicable</v>
      </c>
      <c r="B307" s="16">
        <f>COUNTIFS(Table2[Which of the following primary care team services did you attend today?],Condition_1,Table2[Did you receive other information or advice during your visit today?],A307)</f>
        <v>0</v>
      </c>
      <c r="C307" s="17" t="e">
        <f t="shared" si="39"/>
        <v>#DIV/0!</v>
      </c>
      <c r="D307" s="17"/>
    </row>
    <row r="308" spans="1:4">
      <c r="A308" s="15" t="str">
        <f>'Validation List'!AE15</f>
        <v>Not answered</v>
      </c>
      <c r="B308" s="16">
        <f>COUNTIFS(Table2[Which of the following primary care team services did you attend today?],Condition_1,Table2[Did you receive other information or advice during your visit today?],A308)</f>
        <v>0</v>
      </c>
      <c r="C308" s="17" t="e">
        <f t="shared" si="39"/>
        <v>#DIV/0!</v>
      </c>
      <c r="D308" s="17"/>
    </row>
    <row r="309" spans="1:4">
      <c r="A309" s="15" t="s">
        <v>39</v>
      </c>
      <c r="B309" s="16">
        <f>SUM(B305:B308)</f>
        <v>0</v>
      </c>
      <c r="C309" s="17" t="e">
        <f>SUM(C305:C308)</f>
        <v>#DIV/0!</v>
      </c>
      <c r="D309" s="17" t="e">
        <f>SUM(D305:D308)</f>
        <v>#DIV/0!</v>
      </c>
    </row>
    <row r="310" spans="1:4">
      <c r="A310" s="18"/>
      <c r="B310" s="13"/>
      <c r="C310" s="22"/>
      <c r="D310" s="22"/>
    </row>
    <row r="311" spans="1:4">
      <c r="A311" s="18"/>
      <c r="B311" s="13"/>
      <c r="C311" s="22"/>
      <c r="D311" s="22"/>
    </row>
    <row r="312" spans="1:4">
      <c r="A312" s="47" t="str">
        <f>'Validation List'!AF3</f>
        <v>Patient highlighted other areas for information or advice</v>
      </c>
      <c r="B312" s="48"/>
      <c r="C312" s="48"/>
      <c r="D312" s="49"/>
    </row>
    <row r="313" spans="1:4">
      <c r="A313" s="15"/>
      <c r="B313" s="16" t="s">
        <v>37</v>
      </c>
      <c r="C313" s="17" t="s">
        <v>38</v>
      </c>
      <c r="D313" s="17" t="s">
        <v>42</v>
      </c>
    </row>
    <row r="314" spans="1:4">
      <c r="A314" s="15" t="str">
        <f>'Validation List'!AF6</f>
        <v>Yes</v>
      </c>
      <c r="B314" s="16">
        <f>COUNTIFS(Table2[Which of the following primary care team services did you attend today?],Condition_1,Table2[Are there other areas that you would appreciate information or advice on?],A314)</f>
        <v>0</v>
      </c>
      <c r="C314" s="17" t="e">
        <f t="shared" ref="C314:C316" si="40">B314/No_who_answered_survey*100</f>
        <v>#DIV/0!</v>
      </c>
      <c r="D314" s="17" t="e">
        <f>B314/(No_who_answered_survey-COUNTIFS(Table2[Which of the following primary care team services did you attend today?],Condition_1,Table2[Are there other areas that you would appreciate information or advice on?],"Not answered"))*100</f>
        <v>#DIV/0!</v>
      </c>
    </row>
    <row r="315" spans="1:4">
      <c r="A315" s="15" t="str">
        <f>'Validation List'!AF7</f>
        <v>No</v>
      </c>
      <c r="B315" s="16">
        <f>COUNTIFS(Table2[Which of the following primary care team services did you attend today?],Condition_1,Table2[Are there other areas that you would appreciate information or advice on?],A315)</f>
        <v>0</v>
      </c>
      <c r="C315" s="17" t="e">
        <f t="shared" si="40"/>
        <v>#DIV/0!</v>
      </c>
      <c r="D315" s="17" t="e">
        <f>B315/(No_who_answered_survey-COUNTIFS(Table2[Which of the following primary care team services did you attend today?],Condition_1,Table2[Are there other areas that you would appreciate information or advice on?],"Not answered"))*100</f>
        <v>#DIV/0!</v>
      </c>
    </row>
    <row r="316" spans="1:4">
      <c r="A316" s="15" t="str">
        <f>'Validation List'!AF15</f>
        <v>Not answered</v>
      </c>
      <c r="B316" s="16">
        <f>COUNTIFS(Table2[Which of the following primary care team services did you attend today?],Condition_1,Table2[Are there other areas that you would appreciate information or advice on?],A316)</f>
        <v>0</v>
      </c>
      <c r="C316" s="17" t="e">
        <f t="shared" si="40"/>
        <v>#DIV/0!</v>
      </c>
      <c r="D316" s="17"/>
    </row>
    <row r="317" spans="1:4">
      <c r="A317" s="15" t="s">
        <v>39</v>
      </c>
      <c r="B317" s="16">
        <f>SUM(B314:B316)</f>
        <v>0</v>
      </c>
      <c r="C317" s="17" t="e">
        <f>SUM(C314:C316)</f>
        <v>#DIV/0!</v>
      </c>
      <c r="D317" s="17" t="e">
        <f>SUM(D314:D316)</f>
        <v>#DIV/0!</v>
      </c>
    </row>
    <row r="318" spans="1:4">
      <c r="A318" s="18"/>
      <c r="B318" s="13"/>
      <c r="C318" s="22"/>
      <c r="D318" s="22"/>
    </row>
    <row r="319" spans="1:4">
      <c r="A319" s="18"/>
      <c r="B319" s="13"/>
      <c r="C319" s="22"/>
      <c r="D319" s="22"/>
    </row>
    <row r="320" spans="1:4" ht="27.75" customHeight="1">
      <c r="A320" s="47" t="str">
        <f>'Validation List'!AG3</f>
        <v>Overall patient rating of their appointment on day of survey</v>
      </c>
      <c r="B320" s="48"/>
      <c r="C320" s="48"/>
      <c r="D320" s="49"/>
    </row>
    <row r="321" spans="1:4">
      <c r="A321" s="15"/>
      <c r="B321" s="16" t="s">
        <v>37</v>
      </c>
      <c r="C321" s="17" t="s">
        <v>38</v>
      </c>
      <c r="D321" s="17" t="s">
        <v>42</v>
      </c>
    </row>
    <row r="322" spans="1:4">
      <c r="A322" s="15" t="str">
        <f>'Validation List'!AG6</f>
        <v>Excellent</v>
      </c>
      <c r="B322" s="16">
        <f>COUNTIFS(Table2[Which of the following primary care team services did you attend today?],Condition_1,Table2[Overall, how would you rate your experience of your appointment today? Please circle one.],A322)</f>
        <v>0</v>
      </c>
      <c r="C322" s="17" t="e">
        <f t="shared" ref="C322:C327" si="41">B322/No_who_answered_survey*100</f>
        <v>#DIV/0!</v>
      </c>
      <c r="D322" s="17" t="e">
        <f>B322/(No_who_answered_survey-COUNTIFS(Table2[Which of the following primary care team services did you attend today?],Condition_1,Table2[Overall, how would you rate your experience of your appointment today? Please circle one.],"Not answered"))*100</f>
        <v>#DIV/0!</v>
      </c>
    </row>
    <row r="323" spans="1:4">
      <c r="A323" s="15" t="str">
        <f>'Validation List'!AG7</f>
        <v>Very Good</v>
      </c>
      <c r="B323" s="16">
        <f>COUNTIFS(Table2[Which of the following primary care team services did you attend today?],Condition_1,Table2[Overall, how would you rate your experience of your appointment today? Please circle one.],A323)</f>
        <v>0</v>
      </c>
      <c r="C323" s="17" t="e">
        <f t="shared" si="41"/>
        <v>#DIV/0!</v>
      </c>
      <c r="D323" s="17" t="e">
        <f>B323/(No_who_answered_survey-COUNTIFS(Table2[Which of the following primary care team services did you attend today?],Condition_1,Table2[Overall, how would you rate your experience of your appointment today? Please circle one.],"Not answered"))*100</f>
        <v>#DIV/0!</v>
      </c>
    </row>
    <row r="324" spans="1:4">
      <c r="A324" s="15" t="str">
        <f>'Validation List'!AG8</f>
        <v>Good</v>
      </c>
      <c r="B324" s="16">
        <f>COUNTIFS(Table2[Which of the following primary care team services did you attend today?],Condition_1,Table2[Overall, how would you rate your experience of your appointment today? Please circle one.],A324)</f>
        <v>0</v>
      </c>
      <c r="C324" s="17" t="e">
        <f t="shared" si="41"/>
        <v>#DIV/0!</v>
      </c>
      <c r="D324" s="17" t="e">
        <f>B324/(No_who_answered_survey-COUNTIFS(Table2[Which of the following primary care team services did you attend today?],Condition_1,Table2[Overall, how would you rate your experience of your appointment today? Please circle one.],"Not answered"))*100</f>
        <v>#DIV/0!</v>
      </c>
    </row>
    <row r="325" spans="1:4">
      <c r="A325" s="15" t="str">
        <f>'Validation List'!AG9</f>
        <v xml:space="preserve">Poor </v>
      </c>
      <c r="B325" s="16">
        <f>COUNTIFS(Table2[Which of the following primary care team services did you attend today?],Condition_1,Table2[Overall, how would you rate your experience of your appointment today? Please circle one.],A325)</f>
        <v>0</v>
      </c>
      <c r="C325" s="17" t="e">
        <f t="shared" si="41"/>
        <v>#DIV/0!</v>
      </c>
      <c r="D325" s="17" t="e">
        <f>B325/(No_who_answered_survey-COUNTIFS(Table2[Which of the following primary care team services did you attend today?],Condition_1,Table2[Overall, how would you rate your experience of your appointment today? Please circle one.],"Not answered"))*100</f>
        <v>#DIV/0!</v>
      </c>
    </row>
    <row r="326" spans="1:4">
      <c r="A326" s="15" t="str">
        <f>'Validation List'!AG10</f>
        <v>Very Poor</v>
      </c>
      <c r="B326" s="16">
        <f>COUNTIFS(Table2[Which of the following primary care team services did you attend today?],Condition_1,Table2[Overall, how would you rate your experience of your appointment today? Please circle one.],A326)</f>
        <v>0</v>
      </c>
      <c r="C326" s="17" t="e">
        <f t="shared" si="41"/>
        <v>#DIV/0!</v>
      </c>
      <c r="D326" s="17" t="e">
        <f>B326/(No_who_answered_survey-COUNTIFS(Table2[Which of the following primary care team services did you attend today?],Condition_1,Table2[Overall, how would you rate your experience of your appointment today? Please circle one.],"Not answered"))*100</f>
        <v>#DIV/0!</v>
      </c>
    </row>
    <row r="327" spans="1:4">
      <c r="A327" s="15" t="str">
        <f>'Validation List'!AG15</f>
        <v>Not answered</v>
      </c>
      <c r="B327" s="16">
        <f>COUNTIFS(Table2[Which of the following primary care team services did you attend today?],Condition_1,Table2[Overall, how would you rate your experience of your appointment today? Please circle one.],A327)</f>
        <v>0</v>
      </c>
      <c r="C327" s="17" t="e">
        <f t="shared" si="41"/>
        <v>#DIV/0!</v>
      </c>
      <c r="D327" s="17"/>
    </row>
    <row r="328" spans="1:4">
      <c r="A328" s="15" t="s">
        <v>39</v>
      </c>
      <c r="B328" s="16">
        <f>SUM(B322:B327)</f>
        <v>0</v>
      </c>
      <c r="C328" s="17" t="e">
        <f>SUM(C322:C327)</f>
        <v>#DIV/0!</v>
      </c>
      <c r="D328" s="17" t="e">
        <f>SUM(D322:D327)</f>
        <v>#DIV/0!</v>
      </c>
    </row>
    <row r="329" spans="1:4">
      <c r="A329" s="18"/>
      <c r="B329" s="13"/>
      <c r="C329" s="22"/>
      <c r="D329" s="22"/>
    </row>
    <row r="330" spans="1:4">
      <c r="A330" s="18"/>
      <c r="B330" s="13"/>
      <c r="C330" s="22"/>
      <c r="D330" s="22"/>
    </row>
    <row r="331" spans="1:4">
      <c r="A331" s="47" t="str">
        <f>'Validation List'!AH3</f>
        <v>Patient awareness of The National Healthcare Charter, ‘You and Your Health Service’</v>
      </c>
      <c r="B331" s="48"/>
      <c r="C331" s="48"/>
      <c r="D331" s="49"/>
    </row>
    <row r="332" spans="1:4">
      <c r="A332" s="15"/>
      <c r="B332" s="16" t="s">
        <v>37</v>
      </c>
      <c r="C332" s="17" t="s">
        <v>38</v>
      </c>
      <c r="D332" s="17" t="s">
        <v>42</v>
      </c>
    </row>
    <row r="333" spans="1:4">
      <c r="A333" s="15" t="str">
        <f>'Validation List'!AH6</f>
        <v>Yes</v>
      </c>
      <c r="B333" s="16">
        <f>COUNTIFS(Table2[Which of the following primary care team services did you attend today?],Condition_1,Table2[Are you aware of The National Healthcare Charter, ‘You and Your Health Service’:],A333)</f>
        <v>0</v>
      </c>
      <c r="C333" s="17" t="e">
        <f t="shared" ref="C333:C335" si="42">B333/No_who_answered_survey*100</f>
        <v>#DIV/0!</v>
      </c>
      <c r="D333" s="17" t="e">
        <f>B333/(No_who_answered_survey-COUNTIFS(Table2[Which of the following primary care team services did you attend today?],Condition_1,Table2[Are you aware of The National Healthcare Charter, ‘You and Your Health Service’:],"Not answered"))*100</f>
        <v>#DIV/0!</v>
      </c>
    </row>
    <row r="334" spans="1:4">
      <c r="A334" s="15" t="str">
        <f>'Validation List'!AH7</f>
        <v>No</v>
      </c>
      <c r="B334" s="16">
        <f>COUNTIFS(Table2[Which of the following primary care team services did you attend today?],Condition_1,Table2[Are you aware of The National Healthcare Charter, ‘You and Your Health Service’:],A334)</f>
        <v>0</v>
      </c>
      <c r="C334" s="17" t="e">
        <f t="shared" si="42"/>
        <v>#DIV/0!</v>
      </c>
      <c r="D334" s="17" t="e">
        <f>B334/(No_who_answered_survey-COUNTIFS(Table2[Which of the following primary care team services did you attend today?],Condition_1,Table2[Are you aware of The National Healthcare Charter, ‘You and Your Health Service’:],"Not answered"))*100</f>
        <v>#DIV/0!</v>
      </c>
    </row>
    <row r="335" spans="1:4">
      <c r="A335" s="15" t="str">
        <f>'Validation List'!AH15</f>
        <v>Not answered</v>
      </c>
      <c r="B335" s="16">
        <f>COUNTIFS(Table2[Which of the following primary care team services did you attend today?],Condition_1,Table2[Are you aware of The National Healthcare Charter, ‘You and Your Health Service’:],A335)</f>
        <v>0</v>
      </c>
      <c r="C335" s="17" t="e">
        <f t="shared" si="42"/>
        <v>#DIV/0!</v>
      </c>
      <c r="D335" s="17"/>
    </row>
    <row r="336" spans="1:4">
      <c r="A336" s="15" t="s">
        <v>39</v>
      </c>
      <c r="B336" s="16">
        <f>SUM(B333:B335)</f>
        <v>0</v>
      </c>
      <c r="C336" s="17" t="e">
        <f>SUM(C333:C335)</f>
        <v>#DIV/0!</v>
      </c>
      <c r="D336" s="17" t="e">
        <f>SUM(D333:D335)</f>
        <v>#DIV/0!</v>
      </c>
    </row>
    <row r="337" spans="1:4">
      <c r="A337" s="18"/>
      <c r="B337" s="13"/>
      <c r="C337" s="22"/>
      <c r="D337" s="22"/>
    </row>
    <row r="338" spans="1:4">
      <c r="A338" s="18"/>
      <c r="B338" s="13"/>
      <c r="C338" s="22"/>
      <c r="D338" s="22"/>
    </row>
    <row r="339" spans="1:4">
      <c r="A339" s="47" t="str">
        <f>'Validation List'!AI3</f>
        <v>Patient awareness of ‘Your Service Your Say’ (HSE Complaints Process)</v>
      </c>
      <c r="B339" s="48"/>
      <c r="C339" s="48"/>
      <c r="D339" s="49"/>
    </row>
    <row r="340" spans="1:4">
      <c r="A340" s="15"/>
      <c r="B340" s="16" t="s">
        <v>37</v>
      </c>
      <c r="C340" s="17" t="s">
        <v>38</v>
      </c>
      <c r="D340" s="17" t="s">
        <v>42</v>
      </c>
    </row>
    <row r="341" spans="1:4">
      <c r="A341" s="15" t="str">
        <f>'Validation List'!AI6</f>
        <v>Yes</v>
      </c>
      <c r="B341" s="16">
        <f>COUNTIFS(Table2[Which of the following primary care team services did you attend today?],Condition_1,Table2[Are you aware of ‘Your Service Your Say’ (HSE Complaints Process):],A341)</f>
        <v>0</v>
      </c>
      <c r="C341" s="17" t="e">
        <f t="shared" ref="C341:C343" si="43">B341/No_who_answered_survey*100</f>
        <v>#DIV/0!</v>
      </c>
      <c r="D341" s="17" t="e">
        <f>B341/(No_who_answered_survey-COUNTIFS(Table2[Which of the following primary care team services did you attend today?],Condition_1,Table2[Are you aware of ‘Your Service Your Say’ (HSE Complaints Process):],"Not answered"))*100</f>
        <v>#DIV/0!</v>
      </c>
    </row>
    <row r="342" spans="1:4">
      <c r="A342" s="15" t="str">
        <f>'Validation List'!AI7</f>
        <v>No</v>
      </c>
      <c r="B342" s="16">
        <f>COUNTIFS(Table2[Which of the following primary care team services did you attend today?],Condition_1,Table2[Are you aware of ‘Your Service Your Say’ (HSE Complaints Process):],A342)</f>
        <v>0</v>
      </c>
      <c r="C342" s="17" t="e">
        <f t="shared" si="43"/>
        <v>#DIV/0!</v>
      </c>
      <c r="D342" s="17" t="e">
        <f>B342/(No_who_answered_survey-COUNTIFS(Table2[Which of the following primary care team services did you attend today?],Condition_1,Table2[Are you aware of ‘Your Service Your Say’ (HSE Complaints Process):],"Not answered"))*100</f>
        <v>#DIV/0!</v>
      </c>
    </row>
    <row r="343" spans="1:4">
      <c r="A343" s="15" t="str">
        <f>'Validation List'!AI15</f>
        <v>Not answered</v>
      </c>
      <c r="B343" s="16">
        <f>COUNTIFS(Table2[Which of the following primary care team services did you attend today?],Condition_1,Table2[Are you aware of ‘Your Service Your Say’ (HSE Complaints Process):],A343)</f>
        <v>0</v>
      </c>
      <c r="C343" s="17" t="e">
        <f t="shared" si="43"/>
        <v>#DIV/0!</v>
      </c>
      <c r="D343" s="17"/>
    </row>
    <row r="344" spans="1:4">
      <c r="A344" s="15" t="s">
        <v>39</v>
      </c>
      <c r="B344" s="16">
        <f>SUM(B341:B343)</f>
        <v>0</v>
      </c>
      <c r="C344" s="17" t="e">
        <f>SUM(C341:C343)</f>
        <v>#DIV/0!</v>
      </c>
      <c r="D344" s="17" t="e">
        <f>SUM(D341:D343)</f>
        <v>#DIV/0!</v>
      </c>
    </row>
    <row r="345" spans="1:4">
      <c r="A345" s="19"/>
      <c r="B345" s="20"/>
      <c r="C345" s="21"/>
      <c r="D345" s="21"/>
    </row>
    <row r="346" spans="1:4">
      <c r="A346" s="18"/>
      <c r="B346" s="13"/>
      <c r="C346" s="22"/>
      <c r="D346" s="22"/>
    </row>
    <row r="347" spans="1:4">
      <c r="A347" s="13"/>
      <c r="B347" s="13"/>
      <c r="C347" s="22"/>
      <c r="D347" s="13"/>
    </row>
    <row r="348" spans="1:4">
      <c r="A348" s="13"/>
      <c r="B348" s="13"/>
      <c r="C348" s="22"/>
      <c r="D348" s="13"/>
    </row>
    <row r="349" spans="1:4">
      <c r="A349" s="13"/>
      <c r="B349" s="13"/>
      <c r="C349" s="22"/>
      <c r="D349" s="13"/>
    </row>
    <row r="350" spans="1:4">
      <c r="A350" s="13"/>
      <c r="B350" s="13"/>
      <c r="C350" s="22"/>
      <c r="D350" s="13"/>
    </row>
    <row r="351" spans="1:4">
      <c r="A351" s="13"/>
      <c r="B351" s="13"/>
      <c r="C351" s="22"/>
      <c r="D351" s="13"/>
    </row>
    <row r="352" spans="1:4">
      <c r="A352" s="13"/>
      <c r="B352" s="13"/>
      <c r="C352" s="22"/>
      <c r="D352" s="13"/>
    </row>
    <row r="353" spans="1:4">
      <c r="A353" s="13"/>
      <c r="B353" s="13"/>
      <c r="C353" s="22"/>
      <c r="D353" s="13"/>
    </row>
    <row r="354" spans="1:4">
      <c r="A354" s="13"/>
      <c r="B354" s="13"/>
      <c r="C354" s="22"/>
      <c r="D354" s="13"/>
    </row>
    <row r="355" spans="1:4">
      <c r="A355" s="13"/>
      <c r="B355" s="13"/>
      <c r="C355" s="22"/>
      <c r="D355" s="13"/>
    </row>
    <row r="356" spans="1:4">
      <c r="A356" s="13"/>
      <c r="B356" s="13"/>
      <c r="C356" s="22"/>
      <c r="D356" s="13"/>
    </row>
    <row r="357" spans="1:4">
      <c r="A357" s="13"/>
      <c r="B357" s="13"/>
      <c r="C357" s="22"/>
      <c r="D357" s="13"/>
    </row>
    <row r="358" spans="1:4">
      <c r="A358" s="13"/>
      <c r="B358" s="13"/>
      <c r="C358" s="22"/>
      <c r="D358" s="13"/>
    </row>
    <row r="359" spans="1:4">
      <c r="A359" s="13"/>
      <c r="B359" s="13"/>
      <c r="C359" s="22"/>
      <c r="D359" s="13"/>
    </row>
    <row r="360" spans="1:4">
      <c r="A360" s="13"/>
      <c r="B360" s="13"/>
      <c r="C360" s="22"/>
      <c r="D360" s="13"/>
    </row>
    <row r="361" spans="1:4">
      <c r="A361" s="13"/>
      <c r="B361" s="13"/>
      <c r="C361" s="22"/>
      <c r="D361" s="13"/>
    </row>
    <row r="362" spans="1:4">
      <c r="A362" s="13"/>
      <c r="B362" s="13"/>
      <c r="C362" s="22"/>
      <c r="D362" s="13"/>
    </row>
    <row r="363" spans="1:4">
      <c r="A363" s="13"/>
      <c r="B363" s="13"/>
      <c r="C363" s="22"/>
      <c r="D363" s="13"/>
    </row>
    <row r="364" spans="1:4">
      <c r="A364" s="13"/>
      <c r="B364" s="13"/>
      <c r="C364" s="22"/>
      <c r="D364" s="13"/>
    </row>
    <row r="365" spans="1:4">
      <c r="A365" s="13"/>
      <c r="B365" s="13"/>
      <c r="C365" s="22"/>
      <c r="D365" s="13"/>
    </row>
    <row r="366" spans="1:4">
      <c r="A366" s="13"/>
      <c r="B366" s="13"/>
      <c r="C366" s="22"/>
      <c r="D366" s="13"/>
    </row>
    <row r="367" spans="1:4">
      <c r="A367" s="13"/>
      <c r="B367" s="13"/>
      <c r="C367" s="22"/>
      <c r="D367" s="13"/>
    </row>
    <row r="368" spans="1:4">
      <c r="A368" s="13"/>
      <c r="B368" s="13"/>
      <c r="C368" s="22"/>
      <c r="D368" s="13"/>
    </row>
    <row r="369" spans="1:4">
      <c r="A369" s="13"/>
      <c r="B369" s="13"/>
      <c r="C369" s="22"/>
      <c r="D369" s="13"/>
    </row>
    <row r="370" spans="1:4">
      <c r="A370" s="13"/>
      <c r="B370" s="13"/>
      <c r="C370" s="22"/>
      <c r="D370" s="13"/>
    </row>
    <row r="371" spans="1:4">
      <c r="A371" s="13"/>
      <c r="B371" s="13"/>
      <c r="C371" s="22"/>
      <c r="D371" s="13"/>
    </row>
    <row r="372" spans="1:4">
      <c r="A372" s="13"/>
      <c r="B372" s="13"/>
      <c r="C372" s="22"/>
      <c r="D372" s="13"/>
    </row>
    <row r="373" spans="1:4">
      <c r="A373" s="13"/>
      <c r="B373" s="13"/>
      <c r="C373" s="22"/>
      <c r="D373" s="13"/>
    </row>
    <row r="374" spans="1:4">
      <c r="A374" s="13"/>
      <c r="B374" s="13"/>
      <c r="C374" s="22"/>
      <c r="D374" s="13"/>
    </row>
    <row r="375" spans="1:4">
      <c r="A375" s="13"/>
      <c r="B375" s="13"/>
      <c r="C375" s="22"/>
      <c r="D375" s="13"/>
    </row>
    <row r="376" spans="1:4">
      <c r="A376" s="13"/>
      <c r="B376" s="13"/>
      <c r="C376" s="22"/>
      <c r="D376" s="13"/>
    </row>
    <row r="377" spans="1:4">
      <c r="A377" s="13"/>
      <c r="B377" s="13"/>
      <c r="C377" s="22"/>
      <c r="D377" s="13"/>
    </row>
    <row r="378" spans="1:4">
      <c r="A378" s="13"/>
      <c r="B378" s="13"/>
      <c r="C378" s="22"/>
      <c r="D378" s="13"/>
    </row>
    <row r="379" spans="1:4">
      <c r="A379" s="13"/>
      <c r="B379" s="13"/>
      <c r="C379" s="22"/>
      <c r="D379" s="13"/>
    </row>
    <row r="380" spans="1:4">
      <c r="A380" s="13"/>
      <c r="B380" s="13"/>
      <c r="C380" s="22"/>
      <c r="D380" s="13"/>
    </row>
    <row r="381" spans="1:4">
      <c r="A381" s="13"/>
      <c r="B381" s="13"/>
      <c r="C381" s="22"/>
      <c r="D381" s="13"/>
    </row>
    <row r="382" spans="1:4">
      <c r="A382" s="13"/>
      <c r="B382" s="13"/>
      <c r="C382" s="22"/>
      <c r="D382" s="13"/>
    </row>
    <row r="383" spans="1:4">
      <c r="A383" s="13"/>
      <c r="B383" s="13"/>
      <c r="C383" s="22"/>
      <c r="D383" s="13"/>
    </row>
    <row r="384" spans="1:4">
      <c r="A384" s="13"/>
      <c r="B384" s="13"/>
      <c r="C384" s="22"/>
      <c r="D384" s="13"/>
    </row>
    <row r="385" spans="1:8">
      <c r="A385" s="13"/>
      <c r="B385" s="13"/>
      <c r="C385" s="22"/>
      <c r="D385" s="13"/>
    </row>
    <row r="386" spans="1:8">
      <c r="A386" s="13"/>
      <c r="B386" s="13"/>
      <c r="C386" s="22"/>
      <c r="D386" s="13"/>
    </row>
    <row r="387" spans="1:8">
      <c r="A387" s="13"/>
      <c r="B387" s="13"/>
      <c r="C387" s="22"/>
      <c r="D387" s="13"/>
    </row>
    <row r="388" spans="1:8">
      <c r="A388" s="13"/>
      <c r="B388" s="13"/>
      <c r="C388" s="22"/>
      <c r="D388" s="13"/>
    </row>
    <row r="389" spans="1:8">
      <c r="A389" s="13"/>
      <c r="B389" s="13"/>
      <c r="C389" s="22"/>
      <c r="D389" s="13"/>
    </row>
    <row r="390" spans="1:8">
      <c r="A390" s="13"/>
      <c r="B390" s="13"/>
      <c r="C390" s="22"/>
      <c r="D390" s="13"/>
    </row>
    <row r="391" spans="1:8">
      <c r="A391" s="13"/>
      <c r="B391" s="13"/>
      <c r="C391" s="22"/>
      <c r="D391" s="13"/>
    </row>
    <row r="392" spans="1:8">
      <c r="A392" s="13"/>
      <c r="B392" s="13"/>
      <c r="C392" s="22"/>
      <c r="D392" s="13"/>
    </row>
    <row r="393" spans="1:8">
      <c r="A393" s="13"/>
      <c r="B393" s="13"/>
      <c r="C393" s="22"/>
      <c r="D393" s="13"/>
    </row>
    <row r="394" spans="1:8">
      <c r="A394" s="13"/>
      <c r="B394" s="13"/>
      <c r="C394" s="22"/>
      <c r="D394" s="13"/>
    </row>
    <row r="395" spans="1:8">
      <c r="A395" s="18"/>
      <c r="B395" s="18"/>
      <c r="C395" s="23"/>
      <c r="D395" s="18"/>
      <c r="E395" s="26"/>
      <c r="F395" s="26"/>
      <c r="G395" s="26"/>
      <c r="H395" s="26"/>
    </row>
    <row r="396" spans="1:8">
      <c r="A396" s="13"/>
      <c r="B396" s="13"/>
      <c r="C396" s="22"/>
      <c r="D396" s="13"/>
    </row>
    <row r="397" spans="1:8">
      <c r="A397" s="13"/>
      <c r="B397" s="13"/>
      <c r="C397" s="22"/>
      <c r="D397" s="13"/>
    </row>
    <row r="398" spans="1:8">
      <c r="A398" s="13"/>
      <c r="B398" s="13"/>
      <c r="C398" s="22"/>
      <c r="D398" s="13"/>
    </row>
    <row r="399" spans="1:8">
      <c r="A399" s="13"/>
      <c r="B399" s="13"/>
      <c r="C399" s="22"/>
      <c r="D399" s="13"/>
    </row>
    <row r="400" spans="1:8">
      <c r="A400" s="13"/>
      <c r="B400" s="13"/>
      <c r="C400" s="22"/>
      <c r="D400" s="13"/>
    </row>
    <row r="401" spans="1:4">
      <c r="A401" s="13"/>
      <c r="B401" s="13"/>
      <c r="C401" s="22"/>
      <c r="D401" s="13"/>
    </row>
    <row r="402" spans="1:4">
      <c r="A402" s="13"/>
      <c r="B402" s="13"/>
      <c r="C402" s="22"/>
      <c r="D402" s="13"/>
    </row>
    <row r="403" spans="1:4">
      <c r="A403" s="13"/>
      <c r="B403" s="13"/>
      <c r="C403" s="22"/>
      <c r="D403" s="13"/>
    </row>
    <row r="404" spans="1:4">
      <c r="A404" s="13"/>
      <c r="B404" s="13"/>
      <c r="C404" s="22"/>
      <c r="D404" s="13"/>
    </row>
    <row r="405" spans="1:4">
      <c r="A405" s="13"/>
      <c r="B405" s="13"/>
      <c r="C405" s="22"/>
      <c r="D405" s="13"/>
    </row>
    <row r="406" spans="1:4">
      <c r="A406" s="13"/>
      <c r="B406" s="13"/>
      <c r="C406" s="22"/>
      <c r="D406" s="13"/>
    </row>
    <row r="407" spans="1:4">
      <c r="A407" s="13"/>
      <c r="B407" s="13"/>
      <c r="C407" s="22"/>
      <c r="D407" s="13"/>
    </row>
    <row r="408" spans="1:4">
      <c r="A408" s="13"/>
      <c r="B408" s="13"/>
      <c r="C408" s="22"/>
      <c r="D408" s="13"/>
    </row>
    <row r="409" spans="1:4">
      <c r="A409" s="13"/>
      <c r="B409" s="13"/>
      <c r="C409" s="22"/>
      <c r="D409" s="13"/>
    </row>
    <row r="410" spans="1:4">
      <c r="A410" s="13"/>
      <c r="B410" s="13"/>
      <c r="C410" s="22"/>
      <c r="D410" s="13"/>
    </row>
    <row r="411" spans="1:4">
      <c r="A411" s="13"/>
      <c r="B411" s="13"/>
      <c r="C411" s="22"/>
      <c r="D411" s="13"/>
    </row>
    <row r="412" spans="1:4">
      <c r="A412" s="13"/>
      <c r="B412" s="13"/>
      <c r="C412" s="22"/>
      <c r="D412" s="13"/>
    </row>
    <row r="413" spans="1:4">
      <c r="A413" s="13"/>
      <c r="B413" s="13"/>
      <c r="C413" s="22"/>
      <c r="D413" s="13"/>
    </row>
    <row r="414" spans="1:4">
      <c r="A414" s="13"/>
      <c r="B414" s="13"/>
      <c r="C414" s="22"/>
      <c r="D414" s="13"/>
    </row>
    <row r="415" spans="1:4">
      <c r="A415" s="13"/>
      <c r="B415" s="13"/>
      <c r="C415" s="22"/>
      <c r="D415" s="13"/>
    </row>
    <row r="416" spans="1:4">
      <c r="A416" s="13"/>
      <c r="B416" s="13"/>
      <c r="C416" s="22"/>
      <c r="D416" s="13"/>
    </row>
    <row r="417" spans="1:4">
      <c r="A417" s="13"/>
      <c r="B417" s="13"/>
      <c r="C417" s="22"/>
      <c r="D417" s="13"/>
    </row>
    <row r="418" spans="1:4">
      <c r="A418" s="13"/>
      <c r="B418" s="13"/>
      <c r="C418" s="22"/>
      <c r="D418" s="13"/>
    </row>
    <row r="419" spans="1:4">
      <c r="A419" s="13"/>
      <c r="B419" s="13"/>
      <c r="C419" s="22"/>
      <c r="D419" s="13"/>
    </row>
    <row r="420" spans="1:4">
      <c r="A420" s="13"/>
      <c r="B420" s="13"/>
      <c r="C420" s="22"/>
      <c r="D420" s="13"/>
    </row>
    <row r="421" spans="1:4">
      <c r="A421" s="13"/>
      <c r="B421" s="13"/>
      <c r="C421" s="22"/>
      <c r="D421" s="13"/>
    </row>
    <row r="422" spans="1:4">
      <c r="A422" s="13"/>
      <c r="B422" s="13"/>
      <c r="C422" s="22"/>
      <c r="D422" s="13"/>
    </row>
    <row r="423" spans="1:4">
      <c r="A423" s="13"/>
      <c r="B423" s="13"/>
      <c r="C423" s="22"/>
      <c r="D423" s="13"/>
    </row>
    <row r="424" spans="1:4">
      <c r="A424" s="13"/>
      <c r="B424" s="13"/>
      <c r="C424" s="22"/>
      <c r="D424" s="13"/>
    </row>
    <row r="425" spans="1:4">
      <c r="A425" s="13"/>
      <c r="B425" s="13"/>
      <c r="C425" s="22"/>
      <c r="D425" s="13"/>
    </row>
    <row r="426" spans="1:4">
      <c r="A426" s="13"/>
      <c r="B426" s="13"/>
      <c r="C426" s="22"/>
      <c r="D426" s="13"/>
    </row>
    <row r="427" spans="1:4">
      <c r="A427" s="13"/>
      <c r="B427" s="13"/>
      <c r="C427" s="22"/>
      <c r="D427" s="13"/>
    </row>
    <row r="428" spans="1:4">
      <c r="A428" s="13"/>
      <c r="B428" s="13"/>
      <c r="C428" s="22"/>
      <c r="D428" s="13"/>
    </row>
    <row r="429" spans="1:4">
      <c r="A429" s="13"/>
      <c r="B429" s="13"/>
      <c r="C429" s="22"/>
      <c r="D429" s="13"/>
    </row>
    <row r="430" spans="1:4">
      <c r="A430" s="13"/>
      <c r="B430" s="13"/>
      <c r="C430" s="22"/>
      <c r="D430" s="13"/>
    </row>
    <row r="431" spans="1:4">
      <c r="A431" s="13"/>
      <c r="B431" s="13"/>
      <c r="C431" s="22"/>
      <c r="D431" s="13"/>
    </row>
    <row r="432" spans="1:4">
      <c r="A432" s="13"/>
      <c r="B432" s="13"/>
      <c r="C432" s="22"/>
      <c r="D432" s="13"/>
    </row>
    <row r="433" spans="1:4">
      <c r="A433" s="13"/>
      <c r="B433" s="13"/>
      <c r="C433" s="22"/>
      <c r="D433" s="13"/>
    </row>
    <row r="434" spans="1:4">
      <c r="A434" s="13"/>
      <c r="B434" s="13"/>
      <c r="C434" s="22"/>
      <c r="D434" s="13"/>
    </row>
    <row r="435" spans="1:4">
      <c r="A435" s="13"/>
      <c r="B435" s="13"/>
      <c r="C435" s="22"/>
      <c r="D435" s="13"/>
    </row>
    <row r="436" spans="1:4">
      <c r="A436" s="13"/>
      <c r="B436" s="13"/>
      <c r="C436" s="22"/>
      <c r="D436" s="13"/>
    </row>
    <row r="437" spans="1:4">
      <c r="A437" s="13"/>
      <c r="B437" s="13"/>
      <c r="C437" s="22"/>
      <c r="D437" s="13"/>
    </row>
    <row r="438" spans="1:4">
      <c r="A438" s="13"/>
      <c r="B438" s="13"/>
      <c r="C438" s="22"/>
      <c r="D438" s="13"/>
    </row>
    <row r="439" spans="1:4">
      <c r="A439" s="13"/>
      <c r="B439" s="13"/>
      <c r="C439" s="22"/>
      <c r="D439" s="13"/>
    </row>
    <row r="440" spans="1:4">
      <c r="A440" s="13"/>
      <c r="B440" s="13"/>
      <c r="C440" s="22"/>
      <c r="D440" s="13"/>
    </row>
    <row r="441" spans="1:4">
      <c r="A441" s="13"/>
      <c r="B441" s="13"/>
      <c r="C441" s="22"/>
      <c r="D441" s="13"/>
    </row>
    <row r="442" spans="1:4">
      <c r="A442" s="13"/>
      <c r="B442" s="13"/>
      <c r="C442" s="22"/>
      <c r="D442" s="13"/>
    </row>
    <row r="443" spans="1:4">
      <c r="A443" s="13"/>
      <c r="B443" s="13"/>
      <c r="C443" s="22"/>
      <c r="D443" s="13"/>
    </row>
    <row r="444" spans="1:4">
      <c r="A444" s="13"/>
      <c r="B444" s="13"/>
      <c r="C444" s="22"/>
      <c r="D444" s="13"/>
    </row>
    <row r="445" spans="1:4">
      <c r="A445" s="13"/>
      <c r="B445" s="13"/>
      <c r="C445" s="22"/>
      <c r="D445" s="13"/>
    </row>
    <row r="446" spans="1:4">
      <c r="A446" s="13"/>
      <c r="B446" s="13"/>
      <c r="C446" s="22"/>
      <c r="D446" s="13"/>
    </row>
    <row r="447" spans="1:4">
      <c r="A447" s="13"/>
      <c r="B447" s="13"/>
      <c r="C447" s="22"/>
      <c r="D447" s="13"/>
    </row>
    <row r="448" spans="1:4">
      <c r="A448" s="13"/>
      <c r="B448" s="13"/>
      <c r="C448" s="22"/>
      <c r="D448" s="13"/>
    </row>
    <row r="449" spans="1:4">
      <c r="A449" s="13"/>
      <c r="B449" s="13"/>
      <c r="C449" s="22"/>
      <c r="D449" s="13"/>
    </row>
    <row r="450" spans="1:4">
      <c r="A450" s="13"/>
      <c r="B450" s="13"/>
      <c r="C450" s="22"/>
      <c r="D450" s="13"/>
    </row>
    <row r="451" spans="1:4">
      <c r="A451" s="13"/>
      <c r="B451" s="13"/>
      <c r="C451" s="22"/>
      <c r="D451" s="13"/>
    </row>
    <row r="452" spans="1:4">
      <c r="A452" s="13"/>
      <c r="B452" s="13"/>
      <c r="C452" s="22"/>
      <c r="D452" s="13"/>
    </row>
    <row r="453" spans="1:4">
      <c r="A453" s="13"/>
      <c r="B453" s="13"/>
      <c r="C453" s="22"/>
      <c r="D453" s="13"/>
    </row>
    <row r="454" spans="1:4">
      <c r="A454" s="13"/>
      <c r="B454" s="13"/>
      <c r="C454" s="22"/>
      <c r="D454" s="13"/>
    </row>
    <row r="455" spans="1:4">
      <c r="A455" s="13"/>
      <c r="B455" s="13"/>
      <c r="C455" s="22"/>
      <c r="D455" s="13"/>
    </row>
    <row r="456" spans="1:4">
      <c r="A456" s="13"/>
      <c r="B456" s="13"/>
      <c r="C456" s="22"/>
      <c r="D456" s="13"/>
    </row>
    <row r="457" spans="1:4">
      <c r="A457" s="13"/>
      <c r="B457" s="13"/>
      <c r="C457" s="22"/>
      <c r="D457" s="13"/>
    </row>
    <row r="458" spans="1:4">
      <c r="A458" s="13"/>
      <c r="B458" s="13"/>
      <c r="C458" s="22"/>
      <c r="D458" s="13"/>
    </row>
    <row r="459" spans="1:4">
      <c r="A459" s="13"/>
      <c r="B459" s="13"/>
      <c r="C459" s="22"/>
      <c r="D459" s="13"/>
    </row>
    <row r="460" spans="1:4">
      <c r="A460" s="13"/>
      <c r="B460" s="13"/>
      <c r="C460" s="22"/>
      <c r="D460" s="13"/>
    </row>
    <row r="461" spans="1:4">
      <c r="A461" s="13"/>
      <c r="B461" s="13"/>
      <c r="C461" s="22"/>
      <c r="D461" s="13"/>
    </row>
    <row r="462" spans="1:4">
      <c r="A462" s="13"/>
      <c r="B462" s="13"/>
      <c r="C462" s="22"/>
      <c r="D462" s="13"/>
    </row>
    <row r="463" spans="1:4">
      <c r="A463" s="13"/>
      <c r="B463" s="13"/>
      <c r="C463" s="22"/>
      <c r="D463" s="13"/>
    </row>
    <row r="464" spans="1:4">
      <c r="A464" s="13"/>
      <c r="B464" s="13"/>
      <c r="C464" s="22"/>
      <c r="D464" s="13"/>
    </row>
    <row r="465" spans="1:4">
      <c r="A465" s="13"/>
      <c r="B465" s="13"/>
      <c r="C465" s="22"/>
      <c r="D465" s="13"/>
    </row>
    <row r="466" spans="1:4">
      <c r="A466" s="13"/>
      <c r="B466" s="13"/>
      <c r="C466" s="22"/>
      <c r="D466" s="13"/>
    </row>
    <row r="467" spans="1:4">
      <c r="A467" s="13"/>
      <c r="B467" s="13"/>
      <c r="C467" s="22"/>
      <c r="D467" s="13"/>
    </row>
    <row r="468" spans="1:4">
      <c r="A468" s="13"/>
      <c r="B468" s="13"/>
      <c r="C468" s="22"/>
      <c r="D468" s="13"/>
    </row>
    <row r="469" spans="1:4">
      <c r="A469" s="13"/>
      <c r="B469" s="13"/>
      <c r="C469" s="22"/>
      <c r="D469" s="13"/>
    </row>
    <row r="470" spans="1:4">
      <c r="A470" s="13"/>
      <c r="B470" s="13"/>
      <c r="C470" s="22"/>
      <c r="D470" s="13"/>
    </row>
    <row r="471" spans="1:4">
      <c r="A471" s="13"/>
      <c r="B471" s="13"/>
      <c r="C471" s="22"/>
      <c r="D471" s="13"/>
    </row>
    <row r="472" spans="1:4">
      <c r="A472" s="13"/>
      <c r="B472" s="13"/>
      <c r="C472" s="22"/>
      <c r="D472" s="13"/>
    </row>
    <row r="473" spans="1:4">
      <c r="A473" s="13"/>
      <c r="B473" s="13"/>
      <c r="C473" s="22"/>
      <c r="D473" s="13"/>
    </row>
    <row r="474" spans="1:4">
      <c r="A474" s="13"/>
      <c r="B474" s="13"/>
      <c r="C474" s="22"/>
      <c r="D474" s="13"/>
    </row>
    <row r="475" spans="1:4">
      <c r="A475" s="13"/>
      <c r="B475" s="13"/>
      <c r="C475" s="22"/>
      <c r="D475" s="13"/>
    </row>
    <row r="476" spans="1:4">
      <c r="A476" s="13"/>
      <c r="B476" s="13"/>
      <c r="C476" s="22"/>
      <c r="D476" s="13"/>
    </row>
    <row r="477" spans="1:4">
      <c r="A477" s="13"/>
      <c r="B477" s="13"/>
      <c r="C477" s="22"/>
      <c r="D477" s="13"/>
    </row>
    <row r="478" spans="1:4">
      <c r="A478" s="13"/>
      <c r="B478" s="13"/>
      <c r="C478" s="22"/>
      <c r="D478" s="13"/>
    </row>
    <row r="479" spans="1:4">
      <c r="A479" s="13"/>
      <c r="B479" s="13"/>
      <c r="C479" s="22"/>
      <c r="D479" s="13"/>
    </row>
    <row r="480" spans="1:4">
      <c r="A480" s="13"/>
      <c r="B480" s="13"/>
      <c r="C480" s="22"/>
      <c r="D480" s="13"/>
    </row>
    <row r="481" spans="1:4">
      <c r="A481" s="13"/>
      <c r="B481" s="13"/>
      <c r="C481" s="22"/>
      <c r="D481" s="13"/>
    </row>
    <row r="482" spans="1:4">
      <c r="A482" s="13"/>
      <c r="B482" s="13"/>
      <c r="C482" s="22"/>
      <c r="D482" s="13"/>
    </row>
    <row r="483" spans="1:4">
      <c r="A483" s="13"/>
      <c r="B483" s="13"/>
      <c r="C483" s="22"/>
      <c r="D483" s="13"/>
    </row>
    <row r="484" spans="1:4">
      <c r="A484" s="13"/>
      <c r="B484" s="13"/>
      <c r="C484" s="22"/>
      <c r="D484" s="13"/>
    </row>
    <row r="485" spans="1:4">
      <c r="A485" s="13"/>
      <c r="B485" s="13"/>
      <c r="C485" s="22"/>
      <c r="D485" s="13"/>
    </row>
    <row r="486" spans="1:4">
      <c r="A486" s="13"/>
      <c r="B486" s="13"/>
      <c r="C486" s="22"/>
      <c r="D486" s="13"/>
    </row>
    <row r="487" spans="1:4">
      <c r="A487" s="13"/>
      <c r="B487" s="13"/>
      <c r="C487" s="22"/>
      <c r="D487" s="13"/>
    </row>
    <row r="488" spans="1:4">
      <c r="A488" s="13"/>
      <c r="B488" s="13"/>
      <c r="C488" s="22"/>
      <c r="D488" s="13"/>
    </row>
    <row r="489" spans="1:4">
      <c r="A489" s="13"/>
      <c r="B489" s="13"/>
      <c r="C489" s="22"/>
      <c r="D489" s="13"/>
    </row>
    <row r="490" spans="1:4">
      <c r="A490" s="13"/>
      <c r="B490" s="13"/>
      <c r="C490" s="22"/>
      <c r="D490" s="13"/>
    </row>
    <row r="491" spans="1:4">
      <c r="A491" s="13"/>
      <c r="B491" s="13"/>
      <c r="C491" s="22"/>
      <c r="D491" s="13"/>
    </row>
    <row r="492" spans="1:4">
      <c r="A492" s="13"/>
      <c r="B492" s="13"/>
      <c r="C492" s="22"/>
      <c r="D492" s="13"/>
    </row>
    <row r="493" spans="1:4">
      <c r="A493" s="13"/>
      <c r="B493" s="13"/>
      <c r="C493" s="22"/>
      <c r="D493" s="13"/>
    </row>
    <row r="494" spans="1:4">
      <c r="A494" s="13"/>
      <c r="B494" s="13"/>
      <c r="C494" s="22"/>
      <c r="D494" s="13"/>
    </row>
    <row r="495" spans="1:4">
      <c r="A495" s="13"/>
      <c r="B495" s="13"/>
      <c r="C495" s="22"/>
      <c r="D495" s="13"/>
    </row>
    <row r="496" spans="1:4">
      <c r="A496" s="13"/>
      <c r="B496" s="13"/>
      <c r="C496" s="22"/>
      <c r="D496" s="13"/>
    </row>
    <row r="497" spans="1:4">
      <c r="A497" s="13"/>
      <c r="B497" s="13"/>
      <c r="C497" s="22"/>
      <c r="D497" s="13"/>
    </row>
    <row r="498" spans="1:4">
      <c r="A498" s="13"/>
      <c r="B498" s="13"/>
      <c r="C498" s="22"/>
      <c r="D498" s="13"/>
    </row>
    <row r="499" spans="1:4">
      <c r="A499" s="13"/>
      <c r="B499" s="13"/>
      <c r="C499" s="22"/>
      <c r="D499" s="13"/>
    </row>
    <row r="500" spans="1:4">
      <c r="A500" s="13"/>
      <c r="B500" s="13"/>
      <c r="C500" s="22"/>
      <c r="D500" s="13"/>
    </row>
    <row r="501" spans="1:4">
      <c r="A501" s="13"/>
      <c r="B501" s="13"/>
      <c r="C501" s="22"/>
      <c r="D501" s="13"/>
    </row>
    <row r="502" spans="1:4">
      <c r="A502" s="13"/>
      <c r="B502" s="13"/>
      <c r="C502" s="22"/>
      <c r="D502" s="13"/>
    </row>
    <row r="503" spans="1:4">
      <c r="A503" s="13"/>
      <c r="B503" s="13"/>
      <c r="C503" s="22"/>
      <c r="D503" s="13"/>
    </row>
    <row r="504" spans="1:4">
      <c r="A504" s="13"/>
      <c r="B504" s="13"/>
      <c r="C504" s="22"/>
      <c r="D504" s="13"/>
    </row>
    <row r="505" spans="1:4">
      <c r="A505" s="13"/>
      <c r="B505" s="13"/>
      <c r="C505" s="22"/>
      <c r="D505" s="13"/>
    </row>
    <row r="506" spans="1:4">
      <c r="A506" s="13"/>
      <c r="B506" s="13"/>
      <c r="C506" s="22"/>
      <c r="D506" s="13"/>
    </row>
    <row r="507" spans="1:4">
      <c r="A507" s="13"/>
      <c r="B507" s="13"/>
      <c r="C507" s="22"/>
      <c r="D507" s="13"/>
    </row>
    <row r="508" spans="1:4">
      <c r="A508" s="13"/>
      <c r="B508" s="13"/>
      <c r="C508" s="22"/>
      <c r="D508" s="13"/>
    </row>
    <row r="509" spans="1:4">
      <c r="A509" s="13"/>
      <c r="B509" s="13"/>
      <c r="C509" s="22"/>
      <c r="D509" s="13"/>
    </row>
    <row r="510" spans="1:4">
      <c r="A510" s="13"/>
      <c r="B510" s="13"/>
      <c r="C510" s="22"/>
      <c r="D510" s="13"/>
    </row>
    <row r="511" spans="1:4">
      <c r="A511" s="13"/>
      <c r="B511" s="13"/>
      <c r="C511" s="22"/>
      <c r="D511" s="13"/>
    </row>
    <row r="512" spans="1:4">
      <c r="A512" s="13"/>
      <c r="B512" s="13"/>
      <c r="C512" s="22"/>
      <c r="D512" s="13"/>
    </row>
    <row r="513" spans="1:4">
      <c r="A513" s="13"/>
      <c r="B513" s="13"/>
      <c r="C513" s="22"/>
      <c r="D513" s="13"/>
    </row>
    <row r="514" spans="1:4">
      <c r="A514" s="13"/>
      <c r="B514" s="13"/>
      <c r="C514" s="22"/>
      <c r="D514" s="13"/>
    </row>
    <row r="515" spans="1:4">
      <c r="A515" s="13"/>
      <c r="B515" s="13"/>
      <c r="C515" s="22"/>
      <c r="D515" s="13"/>
    </row>
    <row r="516" spans="1:4">
      <c r="A516" s="13"/>
      <c r="B516" s="13"/>
      <c r="C516" s="22"/>
      <c r="D516" s="13"/>
    </row>
    <row r="517" spans="1:4">
      <c r="A517" s="13"/>
      <c r="B517" s="13"/>
      <c r="C517" s="22"/>
      <c r="D517" s="13"/>
    </row>
    <row r="518" spans="1:4">
      <c r="A518" s="13"/>
      <c r="B518" s="13"/>
      <c r="C518" s="22"/>
      <c r="D518" s="13"/>
    </row>
    <row r="519" spans="1:4">
      <c r="A519" s="13"/>
      <c r="B519" s="13"/>
      <c r="C519" s="22"/>
      <c r="D519" s="13"/>
    </row>
    <row r="520" spans="1:4">
      <c r="A520" s="13"/>
      <c r="B520" s="13"/>
      <c r="C520" s="22"/>
      <c r="D520" s="13"/>
    </row>
    <row r="521" spans="1:4">
      <c r="A521" s="13"/>
      <c r="B521" s="13"/>
      <c r="C521" s="22"/>
      <c r="D521" s="13"/>
    </row>
    <row r="522" spans="1:4">
      <c r="A522" s="13"/>
      <c r="B522" s="13"/>
      <c r="C522" s="22"/>
      <c r="D522" s="13"/>
    </row>
    <row r="523" spans="1:4">
      <c r="A523" s="13"/>
      <c r="B523" s="13"/>
      <c r="C523" s="22"/>
      <c r="D523" s="13"/>
    </row>
    <row r="524" spans="1:4">
      <c r="A524" s="13"/>
      <c r="B524" s="13"/>
      <c r="C524" s="22"/>
      <c r="D524" s="13"/>
    </row>
    <row r="525" spans="1:4">
      <c r="A525" s="13"/>
      <c r="B525" s="13"/>
      <c r="C525" s="22"/>
      <c r="D525" s="13"/>
    </row>
    <row r="526" spans="1:4">
      <c r="A526" s="13"/>
      <c r="B526" s="13"/>
      <c r="C526" s="22"/>
      <c r="D526" s="13"/>
    </row>
    <row r="527" spans="1:4">
      <c r="A527" s="13"/>
      <c r="B527" s="13"/>
      <c r="C527" s="22"/>
      <c r="D527" s="13"/>
    </row>
    <row r="528" spans="1:4">
      <c r="A528" s="13"/>
      <c r="B528" s="13"/>
      <c r="C528" s="22"/>
      <c r="D528" s="13"/>
    </row>
    <row r="529" spans="1:4">
      <c r="A529" s="13"/>
      <c r="B529" s="13"/>
      <c r="C529" s="22"/>
      <c r="D529" s="13"/>
    </row>
    <row r="530" spans="1:4">
      <c r="A530" s="13"/>
      <c r="B530" s="13"/>
      <c r="C530" s="22"/>
      <c r="D530" s="13"/>
    </row>
    <row r="531" spans="1:4">
      <c r="A531" s="13"/>
      <c r="B531" s="13"/>
      <c r="C531" s="22"/>
      <c r="D531" s="13"/>
    </row>
    <row r="532" spans="1:4">
      <c r="A532" s="13"/>
      <c r="B532" s="13"/>
      <c r="C532" s="22"/>
      <c r="D532" s="13"/>
    </row>
    <row r="533" spans="1:4">
      <c r="A533" s="13"/>
      <c r="B533" s="13"/>
      <c r="C533" s="22"/>
      <c r="D533" s="13"/>
    </row>
    <row r="534" spans="1:4">
      <c r="A534" s="13"/>
      <c r="B534" s="13"/>
      <c r="C534" s="22"/>
      <c r="D534" s="13"/>
    </row>
    <row r="535" spans="1:4">
      <c r="A535" s="13"/>
      <c r="B535" s="13"/>
      <c r="C535" s="22"/>
      <c r="D535" s="13"/>
    </row>
    <row r="536" spans="1:4">
      <c r="A536" s="13"/>
      <c r="B536" s="13"/>
      <c r="C536" s="22"/>
      <c r="D536" s="13"/>
    </row>
    <row r="537" spans="1:4">
      <c r="A537" s="13"/>
      <c r="B537" s="13"/>
      <c r="C537" s="22"/>
      <c r="D537" s="13"/>
    </row>
    <row r="538" spans="1:4">
      <c r="A538" s="13"/>
      <c r="B538" s="13"/>
      <c r="C538" s="22"/>
      <c r="D538" s="13"/>
    </row>
    <row r="539" spans="1:4">
      <c r="A539" s="13"/>
      <c r="B539" s="13"/>
      <c r="C539" s="22"/>
      <c r="D539" s="13"/>
    </row>
    <row r="540" spans="1:4">
      <c r="A540" s="13"/>
      <c r="B540" s="13"/>
      <c r="C540" s="22"/>
      <c r="D540" s="13"/>
    </row>
    <row r="541" spans="1:4">
      <c r="A541" s="13"/>
      <c r="B541" s="13"/>
      <c r="C541" s="22"/>
      <c r="D541" s="13"/>
    </row>
    <row r="542" spans="1:4">
      <c r="A542" s="13"/>
      <c r="B542" s="13"/>
      <c r="C542" s="22"/>
      <c r="D542" s="13"/>
    </row>
    <row r="543" spans="1:4">
      <c r="A543" s="13"/>
      <c r="B543" s="13"/>
      <c r="C543" s="22"/>
      <c r="D543" s="13"/>
    </row>
    <row r="544" spans="1:4">
      <c r="A544" s="13"/>
      <c r="B544" s="13"/>
      <c r="C544" s="22"/>
      <c r="D544" s="13"/>
    </row>
    <row r="545" spans="1:4">
      <c r="A545" s="13"/>
      <c r="B545" s="13"/>
      <c r="C545" s="22"/>
      <c r="D545" s="13"/>
    </row>
    <row r="546" spans="1:4">
      <c r="A546" s="13"/>
      <c r="B546" s="13"/>
      <c r="C546" s="22"/>
      <c r="D546" s="13"/>
    </row>
    <row r="547" spans="1:4">
      <c r="A547" s="13"/>
      <c r="B547" s="13"/>
      <c r="C547" s="22"/>
      <c r="D547" s="13"/>
    </row>
    <row r="548" spans="1:4">
      <c r="A548" s="13"/>
      <c r="B548" s="13"/>
      <c r="C548" s="22"/>
      <c r="D548" s="13"/>
    </row>
    <row r="549" spans="1:4">
      <c r="A549" s="13"/>
      <c r="B549" s="13"/>
      <c r="C549" s="22"/>
      <c r="D549" s="13"/>
    </row>
    <row r="550" spans="1:4">
      <c r="A550" s="13"/>
      <c r="B550" s="13"/>
      <c r="C550" s="22"/>
      <c r="D550" s="13"/>
    </row>
    <row r="551" spans="1:4">
      <c r="A551" s="13"/>
      <c r="B551" s="13"/>
      <c r="C551" s="22"/>
      <c r="D551" s="13"/>
    </row>
    <row r="552" spans="1:4">
      <c r="A552" s="13"/>
      <c r="B552" s="13"/>
      <c r="C552" s="22"/>
      <c r="D552" s="13"/>
    </row>
    <row r="553" spans="1:4">
      <c r="A553" s="13"/>
      <c r="B553" s="13"/>
      <c r="C553" s="22"/>
      <c r="D553" s="13"/>
    </row>
    <row r="554" spans="1:4">
      <c r="A554" s="13"/>
      <c r="B554" s="13"/>
      <c r="C554" s="22"/>
      <c r="D554" s="13"/>
    </row>
    <row r="555" spans="1:4">
      <c r="A555" s="13"/>
      <c r="B555" s="13"/>
      <c r="C555" s="22"/>
      <c r="D555" s="13"/>
    </row>
    <row r="556" spans="1:4">
      <c r="A556" s="13"/>
      <c r="B556" s="13"/>
      <c r="C556" s="22"/>
      <c r="D556" s="13"/>
    </row>
    <row r="557" spans="1:4">
      <c r="A557" s="13"/>
      <c r="B557" s="13"/>
      <c r="C557" s="22"/>
      <c r="D557" s="13"/>
    </row>
    <row r="558" spans="1:4">
      <c r="A558" s="13"/>
      <c r="B558" s="13"/>
      <c r="C558" s="22"/>
      <c r="D558" s="13"/>
    </row>
    <row r="559" spans="1:4">
      <c r="A559" s="13"/>
      <c r="B559" s="13"/>
      <c r="C559" s="22"/>
      <c r="D559" s="13"/>
    </row>
    <row r="560" spans="1:4">
      <c r="A560" s="13"/>
      <c r="B560" s="13"/>
      <c r="C560" s="22"/>
      <c r="D560" s="13"/>
    </row>
    <row r="561" spans="1:4">
      <c r="A561" s="13"/>
      <c r="B561" s="13"/>
      <c r="C561" s="22"/>
      <c r="D561" s="13"/>
    </row>
    <row r="562" spans="1:4">
      <c r="A562" s="13"/>
      <c r="B562" s="13"/>
      <c r="C562" s="22"/>
      <c r="D562" s="13"/>
    </row>
    <row r="563" spans="1:4">
      <c r="A563" s="13"/>
      <c r="B563" s="13"/>
      <c r="C563" s="22"/>
      <c r="D563" s="13"/>
    </row>
    <row r="564" spans="1:4">
      <c r="A564" s="13"/>
      <c r="B564" s="13"/>
      <c r="C564" s="22"/>
      <c r="D564" s="13"/>
    </row>
    <row r="565" spans="1:4">
      <c r="A565" s="13"/>
      <c r="B565" s="13"/>
      <c r="C565" s="22"/>
      <c r="D565" s="13"/>
    </row>
    <row r="566" spans="1:4">
      <c r="A566" s="13"/>
      <c r="B566" s="13"/>
      <c r="C566" s="22"/>
      <c r="D566" s="13"/>
    </row>
    <row r="567" spans="1:4">
      <c r="A567" s="13"/>
      <c r="B567" s="13"/>
      <c r="C567" s="22"/>
      <c r="D567" s="13"/>
    </row>
    <row r="568" spans="1:4">
      <c r="A568" s="13"/>
      <c r="B568" s="13"/>
      <c r="C568" s="22"/>
      <c r="D568" s="13"/>
    </row>
    <row r="569" spans="1:4">
      <c r="A569" s="13"/>
      <c r="B569" s="13"/>
      <c r="C569" s="22"/>
      <c r="D569" s="13"/>
    </row>
    <row r="570" spans="1:4">
      <c r="A570" s="13"/>
      <c r="B570" s="13"/>
      <c r="C570" s="22"/>
      <c r="D570" s="13"/>
    </row>
    <row r="571" spans="1:4">
      <c r="A571" s="13"/>
      <c r="B571" s="13"/>
      <c r="C571" s="22"/>
      <c r="D571" s="13"/>
    </row>
    <row r="572" spans="1:4">
      <c r="A572" s="13"/>
      <c r="B572" s="13"/>
      <c r="C572" s="22"/>
      <c r="D572" s="13"/>
    </row>
    <row r="573" spans="1:4">
      <c r="A573" s="13"/>
      <c r="B573" s="13"/>
      <c r="C573" s="22"/>
      <c r="D573" s="13"/>
    </row>
    <row r="574" spans="1:4">
      <c r="A574" s="13"/>
      <c r="B574" s="13"/>
      <c r="C574" s="22"/>
      <c r="D574" s="13"/>
    </row>
    <row r="575" spans="1:4">
      <c r="A575" s="13"/>
      <c r="B575" s="13"/>
      <c r="C575" s="22"/>
      <c r="D575" s="13"/>
    </row>
    <row r="576" spans="1:4">
      <c r="A576" s="13"/>
      <c r="B576" s="13"/>
      <c r="C576" s="22"/>
      <c r="D576" s="13"/>
    </row>
    <row r="577" spans="1:4">
      <c r="A577" s="13"/>
      <c r="B577" s="13"/>
      <c r="C577" s="22"/>
      <c r="D577" s="13"/>
    </row>
    <row r="578" spans="1:4">
      <c r="A578" s="13"/>
      <c r="B578" s="13"/>
      <c r="C578" s="22"/>
      <c r="D578" s="13"/>
    </row>
    <row r="579" spans="1:4">
      <c r="A579" s="13"/>
      <c r="B579" s="13"/>
      <c r="C579" s="22"/>
      <c r="D579" s="13"/>
    </row>
    <row r="580" spans="1:4">
      <c r="A580" s="13"/>
      <c r="B580" s="13"/>
      <c r="C580" s="22"/>
      <c r="D580" s="13"/>
    </row>
    <row r="581" spans="1:4">
      <c r="A581" s="13"/>
      <c r="B581" s="13"/>
      <c r="C581" s="22"/>
      <c r="D581" s="13"/>
    </row>
    <row r="582" spans="1:4">
      <c r="A582" s="13"/>
      <c r="B582" s="13"/>
      <c r="C582" s="22"/>
      <c r="D582" s="13"/>
    </row>
    <row r="583" spans="1:4">
      <c r="A583" s="13"/>
      <c r="B583" s="13"/>
      <c r="C583" s="22"/>
      <c r="D583" s="13"/>
    </row>
    <row r="584" spans="1:4">
      <c r="A584" s="13"/>
      <c r="B584" s="13"/>
      <c r="C584" s="22"/>
      <c r="D584" s="13"/>
    </row>
    <row r="585" spans="1:4">
      <c r="A585" s="13"/>
      <c r="B585" s="13"/>
      <c r="C585" s="22"/>
      <c r="D585" s="13"/>
    </row>
    <row r="586" spans="1:4">
      <c r="A586" s="13"/>
      <c r="B586" s="13"/>
      <c r="C586" s="22"/>
      <c r="D586" s="13"/>
    </row>
    <row r="587" spans="1:4">
      <c r="A587" s="13"/>
      <c r="B587" s="13"/>
      <c r="C587" s="22"/>
      <c r="D587" s="13"/>
    </row>
    <row r="588" spans="1:4">
      <c r="A588" s="13"/>
      <c r="B588" s="13"/>
      <c r="C588" s="22"/>
      <c r="D588" s="13"/>
    </row>
    <row r="589" spans="1:4">
      <c r="A589" s="13"/>
      <c r="B589" s="13"/>
      <c r="C589" s="22"/>
      <c r="D589" s="13"/>
    </row>
    <row r="590" spans="1:4">
      <c r="A590" s="13"/>
      <c r="B590" s="13"/>
      <c r="C590" s="22"/>
      <c r="D590" s="13"/>
    </row>
    <row r="591" spans="1:4">
      <c r="A591" s="13"/>
      <c r="B591" s="13"/>
      <c r="C591" s="22"/>
      <c r="D591" s="13"/>
    </row>
    <row r="592" spans="1:4">
      <c r="A592" s="13"/>
      <c r="B592" s="13"/>
      <c r="C592" s="22"/>
      <c r="D592" s="13"/>
    </row>
    <row r="593" spans="1:4">
      <c r="A593" s="13"/>
      <c r="B593" s="13"/>
      <c r="C593" s="22"/>
      <c r="D593" s="13"/>
    </row>
    <row r="594" spans="1:4">
      <c r="A594" s="13"/>
      <c r="B594" s="13"/>
      <c r="C594" s="22"/>
      <c r="D594" s="13"/>
    </row>
    <row r="595" spans="1:4">
      <c r="A595" s="13"/>
      <c r="B595" s="13"/>
      <c r="C595" s="22"/>
      <c r="D595" s="13"/>
    </row>
    <row r="596" spans="1:4">
      <c r="A596" s="13"/>
      <c r="B596" s="13"/>
      <c r="C596" s="22"/>
      <c r="D596" s="13"/>
    </row>
    <row r="597" spans="1:4">
      <c r="A597" s="13"/>
      <c r="B597" s="13"/>
      <c r="C597" s="22"/>
      <c r="D597" s="13"/>
    </row>
    <row r="598" spans="1:4">
      <c r="A598" s="13"/>
      <c r="B598" s="13"/>
      <c r="C598" s="22"/>
      <c r="D598" s="13"/>
    </row>
    <row r="599" spans="1:4">
      <c r="A599" s="13"/>
      <c r="B599" s="13"/>
      <c r="C599" s="22"/>
      <c r="D599" s="13"/>
    </row>
    <row r="600" spans="1:4">
      <c r="A600" s="13"/>
      <c r="B600" s="13"/>
      <c r="C600" s="22"/>
      <c r="D600" s="13"/>
    </row>
    <row r="601" spans="1:4">
      <c r="A601" s="13"/>
      <c r="B601" s="13"/>
      <c r="C601" s="22"/>
      <c r="D601" s="13"/>
    </row>
    <row r="602" spans="1:4">
      <c r="A602" s="13"/>
      <c r="B602" s="13"/>
      <c r="C602" s="22"/>
      <c r="D602" s="13"/>
    </row>
    <row r="603" spans="1:4">
      <c r="A603" s="13"/>
      <c r="B603" s="13"/>
      <c r="C603" s="22"/>
      <c r="D603" s="13"/>
    </row>
    <row r="604" spans="1:4">
      <c r="A604" s="13"/>
      <c r="B604" s="13"/>
      <c r="C604" s="22"/>
      <c r="D604" s="13"/>
    </row>
    <row r="605" spans="1:4">
      <c r="A605" s="13"/>
      <c r="B605" s="13"/>
      <c r="C605" s="22"/>
      <c r="D605" s="13"/>
    </row>
    <row r="606" spans="1:4">
      <c r="A606" s="13"/>
      <c r="B606" s="13"/>
      <c r="C606" s="22"/>
      <c r="D606" s="13"/>
    </row>
    <row r="607" spans="1:4">
      <c r="A607" s="13"/>
      <c r="B607" s="13"/>
      <c r="C607" s="22"/>
      <c r="D607" s="13"/>
    </row>
    <row r="608" spans="1:4">
      <c r="A608" s="13"/>
      <c r="B608" s="13"/>
      <c r="C608" s="22"/>
      <c r="D608" s="13"/>
    </row>
    <row r="609" spans="1:4">
      <c r="A609" s="13"/>
      <c r="B609" s="13"/>
      <c r="C609" s="22"/>
      <c r="D609" s="13"/>
    </row>
    <row r="610" spans="1:4">
      <c r="A610" s="13"/>
      <c r="B610" s="13"/>
      <c r="C610" s="22"/>
      <c r="D610" s="13"/>
    </row>
    <row r="611" spans="1:4">
      <c r="A611" s="13"/>
      <c r="B611" s="13"/>
      <c r="C611" s="22"/>
      <c r="D611" s="13"/>
    </row>
    <row r="612" spans="1:4">
      <c r="A612" s="13"/>
      <c r="B612" s="13"/>
      <c r="C612" s="22"/>
      <c r="D612" s="13"/>
    </row>
    <row r="613" spans="1:4">
      <c r="A613" s="13"/>
      <c r="B613" s="13"/>
      <c r="C613" s="22"/>
      <c r="D613" s="13"/>
    </row>
    <row r="614" spans="1:4">
      <c r="A614" s="13"/>
      <c r="B614" s="13"/>
      <c r="C614" s="22"/>
      <c r="D614" s="13"/>
    </row>
    <row r="615" spans="1:4">
      <c r="A615" s="13"/>
      <c r="B615" s="13"/>
      <c r="C615" s="22"/>
      <c r="D615" s="13"/>
    </row>
    <row r="616" spans="1:4">
      <c r="A616" s="13"/>
      <c r="B616" s="13"/>
      <c r="C616" s="22"/>
      <c r="D616" s="13"/>
    </row>
    <row r="617" spans="1:4">
      <c r="A617" s="13"/>
      <c r="B617" s="13"/>
      <c r="C617" s="22"/>
      <c r="D617" s="13"/>
    </row>
    <row r="618" spans="1:4">
      <c r="A618" s="13"/>
      <c r="B618" s="13"/>
      <c r="C618" s="22"/>
      <c r="D618" s="13"/>
    </row>
    <row r="619" spans="1:4">
      <c r="A619" s="13"/>
      <c r="B619" s="13"/>
      <c r="C619" s="22"/>
      <c r="D619" s="13"/>
    </row>
    <row r="620" spans="1:4">
      <c r="A620" s="13"/>
      <c r="B620" s="13"/>
      <c r="C620" s="22"/>
      <c r="D620" s="13"/>
    </row>
    <row r="621" spans="1:4">
      <c r="A621" s="13"/>
      <c r="B621" s="13"/>
      <c r="C621" s="22"/>
      <c r="D621" s="13"/>
    </row>
    <row r="622" spans="1:4">
      <c r="A622" s="13"/>
      <c r="B622" s="13"/>
      <c r="C622" s="22"/>
      <c r="D622" s="13"/>
    </row>
    <row r="623" spans="1:4">
      <c r="A623" s="13"/>
      <c r="B623" s="13"/>
      <c r="C623" s="22"/>
      <c r="D623" s="13"/>
    </row>
    <row r="624" spans="1:4">
      <c r="A624" s="13"/>
      <c r="B624" s="13"/>
      <c r="C624" s="22"/>
      <c r="D624" s="13"/>
    </row>
    <row r="625" spans="1:4">
      <c r="A625" s="13"/>
      <c r="B625" s="13"/>
      <c r="C625" s="22"/>
      <c r="D625" s="13"/>
    </row>
    <row r="626" spans="1:4">
      <c r="A626" s="13"/>
      <c r="B626" s="13"/>
      <c r="C626" s="22"/>
      <c r="D626" s="13"/>
    </row>
    <row r="627" spans="1:4">
      <c r="A627" s="13"/>
      <c r="B627" s="13"/>
      <c r="C627" s="22"/>
      <c r="D627" s="13"/>
    </row>
    <row r="628" spans="1:4">
      <c r="A628" s="13"/>
      <c r="B628" s="13"/>
      <c r="C628" s="22"/>
      <c r="D628" s="13"/>
    </row>
    <row r="629" spans="1:4">
      <c r="A629" s="13"/>
      <c r="B629" s="13"/>
      <c r="C629" s="22"/>
      <c r="D629" s="13"/>
    </row>
    <row r="630" spans="1:4">
      <c r="A630" s="13"/>
      <c r="B630" s="13"/>
      <c r="C630" s="22"/>
      <c r="D630" s="13"/>
    </row>
    <row r="631" spans="1:4">
      <c r="A631" s="13"/>
      <c r="B631" s="13"/>
      <c r="C631" s="22"/>
      <c r="D631" s="13"/>
    </row>
    <row r="632" spans="1:4">
      <c r="A632" s="13"/>
      <c r="B632" s="13"/>
      <c r="C632" s="22"/>
      <c r="D632" s="13"/>
    </row>
    <row r="633" spans="1:4">
      <c r="A633" s="13"/>
      <c r="B633" s="13"/>
      <c r="C633" s="22"/>
      <c r="D633" s="13"/>
    </row>
    <row r="634" spans="1:4">
      <c r="A634" s="13"/>
      <c r="B634" s="13"/>
      <c r="C634" s="22"/>
      <c r="D634" s="13"/>
    </row>
    <row r="635" spans="1:4">
      <c r="A635" s="13"/>
      <c r="B635" s="13"/>
      <c r="C635" s="22"/>
      <c r="D635" s="13"/>
    </row>
    <row r="636" spans="1:4">
      <c r="A636" s="13"/>
      <c r="B636" s="13"/>
      <c r="C636" s="22"/>
      <c r="D636" s="13"/>
    </row>
    <row r="637" spans="1:4">
      <c r="A637" s="13"/>
      <c r="B637" s="13"/>
      <c r="C637" s="22"/>
      <c r="D637" s="13"/>
    </row>
    <row r="638" spans="1:4">
      <c r="A638" s="13"/>
      <c r="B638" s="13"/>
      <c r="C638" s="22"/>
      <c r="D638" s="13"/>
    </row>
    <row r="639" spans="1:4">
      <c r="A639" s="13"/>
      <c r="B639" s="13"/>
      <c r="C639" s="22"/>
      <c r="D639" s="13"/>
    </row>
    <row r="640" spans="1:4">
      <c r="A640" s="13"/>
      <c r="B640" s="13"/>
      <c r="C640" s="22"/>
      <c r="D640" s="13"/>
    </row>
    <row r="641" spans="1:4">
      <c r="A641" s="13"/>
      <c r="B641" s="13"/>
      <c r="C641" s="22"/>
      <c r="D641" s="13"/>
    </row>
    <row r="642" spans="1:4">
      <c r="A642" s="13"/>
      <c r="B642" s="13"/>
      <c r="C642" s="22"/>
      <c r="D642" s="13"/>
    </row>
    <row r="643" spans="1:4">
      <c r="A643" s="13"/>
      <c r="B643" s="13"/>
      <c r="C643" s="22"/>
      <c r="D643" s="13"/>
    </row>
    <row r="644" spans="1:4">
      <c r="A644" s="13"/>
      <c r="B644" s="13"/>
      <c r="C644" s="22"/>
      <c r="D644" s="13"/>
    </row>
    <row r="645" spans="1:4">
      <c r="A645" s="13"/>
      <c r="B645" s="13"/>
      <c r="C645" s="22"/>
      <c r="D645" s="13"/>
    </row>
    <row r="646" spans="1:4">
      <c r="A646" s="13"/>
      <c r="B646" s="13"/>
      <c r="C646" s="22"/>
      <c r="D646" s="13"/>
    </row>
    <row r="647" spans="1:4">
      <c r="A647" s="13"/>
      <c r="B647" s="13"/>
      <c r="C647" s="22"/>
      <c r="D647" s="13"/>
    </row>
    <row r="648" spans="1:4">
      <c r="A648" s="13"/>
      <c r="B648" s="13"/>
      <c r="C648" s="22"/>
      <c r="D648" s="13"/>
    </row>
    <row r="649" spans="1:4">
      <c r="A649" s="13"/>
      <c r="B649" s="13"/>
      <c r="C649" s="22"/>
      <c r="D649" s="13"/>
    </row>
    <row r="650" spans="1:4">
      <c r="A650" s="13"/>
      <c r="B650" s="13"/>
      <c r="C650" s="22"/>
      <c r="D650" s="13"/>
    </row>
    <row r="651" spans="1:4">
      <c r="A651" s="13"/>
      <c r="B651" s="13"/>
      <c r="C651" s="22"/>
      <c r="D651" s="13"/>
    </row>
    <row r="652" spans="1:4">
      <c r="A652" s="13"/>
      <c r="B652" s="13"/>
      <c r="C652" s="22"/>
      <c r="D652" s="13"/>
    </row>
    <row r="653" spans="1:4">
      <c r="A653" s="13"/>
      <c r="B653" s="13"/>
      <c r="C653" s="22"/>
      <c r="D653" s="13"/>
    </row>
    <row r="654" spans="1:4">
      <c r="A654" s="13"/>
      <c r="B654" s="13"/>
      <c r="C654" s="22"/>
      <c r="D654" s="13"/>
    </row>
    <row r="655" spans="1:4">
      <c r="A655" s="13"/>
      <c r="B655" s="13"/>
      <c r="C655" s="22"/>
      <c r="D655" s="13"/>
    </row>
    <row r="656" spans="1:4">
      <c r="A656" s="13"/>
      <c r="B656" s="13"/>
      <c r="C656" s="22"/>
      <c r="D656" s="13"/>
    </row>
    <row r="657" spans="1:4">
      <c r="A657" s="13"/>
      <c r="B657" s="13"/>
      <c r="C657" s="22"/>
      <c r="D657" s="13"/>
    </row>
    <row r="658" spans="1:4">
      <c r="A658" s="13"/>
      <c r="B658" s="13"/>
      <c r="C658" s="22"/>
      <c r="D658" s="13"/>
    </row>
    <row r="659" spans="1:4">
      <c r="A659" s="13"/>
      <c r="B659" s="13"/>
      <c r="C659" s="22"/>
      <c r="D659" s="13"/>
    </row>
    <row r="660" spans="1:4">
      <c r="A660" s="13"/>
      <c r="B660" s="13"/>
      <c r="C660" s="22"/>
      <c r="D660" s="13"/>
    </row>
    <row r="661" spans="1:4">
      <c r="A661" s="13"/>
      <c r="B661" s="13"/>
      <c r="C661" s="22"/>
      <c r="D661" s="13"/>
    </row>
    <row r="662" spans="1:4">
      <c r="A662" s="13"/>
      <c r="B662" s="13"/>
      <c r="C662" s="22"/>
      <c r="D662" s="13"/>
    </row>
    <row r="663" spans="1:4">
      <c r="A663" s="13"/>
      <c r="B663" s="13"/>
      <c r="C663" s="22"/>
      <c r="D663" s="13"/>
    </row>
    <row r="664" spans="1:4">
      <c r="A664" s="13"/>
      <c r="B664" s="13"/>
      <c r="C664" s="22"/>
      <c r="D664" s="13"/>
    </row>
    <row r="665" spans="1:4">
      <c r="A665" s="13"/>
      <c r="B665" s="13"/>
      <c r="C665" s="22"/>
      <c r="D665" s="13"/>
    </row>
    <row r="666" spans="1:4">
      <c r="A666" s="13"/>
      <c r="B666" s="13"/>
      <c r="C666" s="22"/>
      <c r="D666" s="13"/>
    </row>
    <row r="667" spans="1:4">
      <c r="A667" s="13"/>
      <c r="B667" s="13"/>
      <c r="C667" s="22"/>
      <c r="D667" s="13"/>
    </row>
    <row r="668" spans="1:4">
      <c r="A668" s="13"/>
      <c r="B668" s="13"/>
      <c r="C668" s="22"/>
      <c r="D668" s="13"/>
    </row>
    <row r="669" spans="1:4">
      <c r="A669" s="13"/>
      <c r="B669" s="13"/>
      <c r="C669" s="22"/>
      <c r="D669" s="13"/>
    </row>
    <row r="670" spans="1:4">
      <c r="A670" s="13"/>
      <c r="B670" s="13"/>
      <c r="C670" s="22"/>
      <c r="D670" s="13"/>
    </row>
    <row r="671" spans="1:4">
      <c r="A671" s="13"/>
      <c r="B671" s="13"/>
      <c r="C671" s="22"/>
      <c r="D671" s="13"/>
    </row>
    <row r="672" spans="1:4">
      <c r="A672" s="13"/>
      <c r="B672" s="13"/>
      <c r="C672" s="22"/>
      <c r="D672" s="13"/>
    </row>
    <row r="673" spans="1:4">
      <c r="A673" s="13"/>
      <c r="B673" s="13"/>
      <c r="C673" s="22"/>
      <c r="D673" s="13"/>
    </row>
    <row r="674" spans="1:4">
      <c r="A674" s="13"/>
      <c r="B674" s="13"/>
      <c r="C674" s="22"/>
      <c r="D674" s="13"/>
    </row>
    <row r="675" spans="1:4">
      <c r="A675" s="13"/>
      <c r="B675" s="13"/>
      <c r="C675" s="22"/>
      <c r="D675" s="13"/>
    </row>
    <row r="676" spans="1:4">
      <c r="A676" s="13"/>
      <c r="B676" s="13"/>
      <c r="C676" s="22"/>
      <c r="D676" s="13"/>
    </row>
    <row r="677" spans="1:4">
      <c r="A677" s="13"/>
      <c r="B677" s="13"/>
      <c r="C677" s="22"/>
      <c r="D677" s="13"/>
    </row>
    <row r="678" spans="1:4">
      <c r="A678" s="13"/>
      <c r="B678" s="13"/>
      <c r="C678" s="22"/>
      <c r="D678" s="13"/>
    </row>
    <row r="679" spans="1:4">
      <c r="A679" s="13"/>
      <c r="B679" s="13"/>
      <c r="C679" s="22"/>
      <c r="D679" s="13"/>
    </row>
    <row r="680" spans="1:4">
      <c r="A680" s="13"/>
      <c r="B680" s="13"/>
      <c r="C680" s="22"/>
      <c r="D680" s="13"/>
    </row>
    <row r="681" spans="1:4">
      <c r="A681" s="13"/>
      <c r="B681" s="13"/>
      <c r="C681" s="22"/>
      <c r="D681" s="13"/>
    </row>
    <row r="682" spans="1:4">
      <c r="A682" s="13"/>
      <c r="B682" s="13"/>
      <c r="C682" s="22"/>
      <c r="D682" s="13"/>
    </row>
    <row r="683" spans="1:4">
      <c r="A683" s="13"/>
      <c r="B683" s="13"/>
      <c r="C683" s="22"/>
      <c r="D683" s="13"/>
    </row>
    <row r="684" spans="1:4">
      <c r="A684" s="13"/>
      <c r="B684" s="13"/>
      <c r="C684" s="22"/>
      <c r="D684" s="13"/>
    </row>
    <row r="685" spans="1:4">
      <c r="A685" s="13"/>
      <c r="B685" s="13"/>
      <c r="C685" s="22"/>
      <c r="D685" s="13"/>
    </row>
    <row r="686" spans="1:4">
      <c r="A686" s="13"/>
      <c r="B686" s="13"/>
      <c r="C686" s="22"/>
      <c r="D686" s="13"/>
    </row>
    <row r="687" spans="1:4">
      <c r="A687" s="13"/>
      <c r="B687" s="13"/>
      <c r="C687" s="22"/>
      <c r="D687" s="13"/>
    </row>
    <row r="688" spans="1:4">
      <c r="A688" s="13"/>
      <c r="B688" s="13"/>
      <c r="C688" s="22"/>
      <c r="D688" s="13"/>
    </row>
    <row r="689" spans="1:4">
      <c r="A689" s="13"/>
      <c r="B689" s="13"/>
      <c r="C689" s="22"/>
      <c r="D689" s="13"/>
    </row>
    <row r="690" spans="1:4">
      <c r="A690" s="13"/>
      <c r="B690" s="13"/>
      <c r="C690" s="22"/>
      <c r="D690" s="13"/>
    </row>
    <row r="691" spans="1:4">
      <c r="A691" s="13"/>
      <c r="B691" s="13"/>
      <c r="C691" s="22"/>
      <c r="D691" s="13"/>
    </row>
    <row r="692" spans="1:4">
      <c r="A692" s="13"/>
      <c r="B692" s="13"/>
      <c r="C692" s="22"/>
      <c r="D692" s="13"/>
    </row>
    <row r="693" spans="1:4">
      <c r="A693" s="13"/>
      <c r="B693" s="13"/>
      <c r="C693" s="22"/>
      <c r="D693" s="13"/>
    </row>
    <row r="694" spans="1:4">
      <c r="A694" s="13"/>
      <c r="B694" s="13"/>
      <c r="C694" s="22"/>
      <c r="D694" s="13"/>
    </row>
    <row r="695" spans="1:4">
      <c r="A695" s="13"/>
      <c r="B695" s="13"/>
      <c r="C695" s="22"/>
      <c r="D695" s="13"/>
    </row>
    <row r="696" spans="1:4">
      <c r="A696" s="13"/>
      <c r="B696" s="13"/>
      <c r="C696" s="22"/>
      <c r="D696" s="13"/>
    </row>
    <row r="697" spans="1:4">
      <c r="A697" s="13"/>
      <c r="B697" s="13"/>
      <c r="C697" s="22"/>
      <c r="D697" s="13"/>
    </row>
    <row r="698" spans="1:4">
      <c r="A698" s="13"/>
      <c r="B698" s="13"/>
      <c r="C698" s="22"/>
      <c r="D698" s="13"/>
    </row>
    <row r="699" spans="1:4">
      <c r="A699" s="13"/>
      <c r="B699" s="13"/>
      <c r="C699" s="22"/>
      <c r="D699" s="13"/>
    </row>
    <row r="700" spans="1:4">
      <c r="A700" s="13"/>
      <c r="B700" s="13"/>
      <c r="C700" s="22"/>
      <c r="D700" s="13"/>
    </row>
    <row r="701" spans="1:4">
      <c r="A701" s="13"/>
      <c r="B701" s="13"/>
      <c r="C701" s="22"/>
      <c r="D701" s="13"/>
    </row>
    <row r="702" spans="1:4">
      <c r="A702" s="13"/>
      <c r="B702" s="13"/>
      <c r="C702" s="22"/>
      <c r="D702" s="13"/>
    </row>
    <row r="703" spans="1:4">
      <c r="A703" s="13"/>
      <c r="B703" s="13"/>
      <c r="C703" s="22"/>
      <c r="D703" s="13"/>
    </row>
    <row r="704" spans="1:4">
      <c r="A704" s="13"/>
      <c r="B704" s="13"/>
      <c r="C704" s="22"/>
      <c r="D704" s="13"/>
    </row>
    <row r="705" spans="1:4">
      <c r="A705" s="13"/>
      <c r="B705" s="13"/>
      <c r="C705" s="22"/>
      <c r="D705" s="13"/>
    </row>
    <row r="706" spans="1:4">
      <c r="A706" s="13"/>
      <c r="B706" s="13"/>
      <c r="C706" s="22"/>
      <c r="D706" s="13"/>
    </row>
    <row r="707" spans="1:4">
      <c r="A707" s="13"/>
      <c r="B707" s="13"/>
      <c r="C707" s="22"/>
      <c r="D707" s="13"/>
    </row>
    <row r="708" spans="1:4">
      <c r="A708" s="13"/>
      <c r="B708" s="13"/>
      <c r="C708" s="22"/>
      <c r="D708" s="13"/>
    </row>
    <row r="709" spans="1:4">
      <c r="A709" s="13"/>
      <c r="B709" s="13"/>
      <c r="C709" s="22"/>
      <c r="D709" s="13"/>
    </row>
    <row r="710" spans="1:4">
      <c r="A710" s="13"/>
      <c r="B710" s="13"/>
      <c r="C710" s="22"/>
      <c r="D710" s="13"/>
    </row>
    <row r="711" spans="1:4">
      <c r="A711" s="13"/>
      <c r="B711" s="13"/>
      <c r="C711" s="22"/>
      <c r="D711" s="13"/>
    </row>
    <row r="712" spans="1:4">
      <c r="A712" s="13"/>
      <c r="B712" s="13"/>
      <c r="C712" s="22"/>
      <c r="D712" s="13"/>
    </row>
    <row r="713" spans="1:4">
      <c r="A713" s="13"/>
      <c r="B713" s="13"/>
      <c r="C713" s="22"/>
      <c r="D713" s="13"/>
    </row>
    <row r="714" spans="1:4">
      <c r="A714" s="13"/>
      <c r="B714" s="13"/>
      <c r="C714" s="22"/>
      <c r="D714" s="13"/>
    </row>
    <row r="715" spans="1:4">
      <c r="A715" s="13"/>
      <c r="B715" s="13"/>
      <c r="C715" s="22"/>
      <c r="D715" s="13"/>
    </row>
    <row r="716" spans="1:4">
      <c r="A716" s="13"/>
      <c r="B716" s="13"/>
      <c r="C716" s="22"/>
      <c r="D716" s="13"/>
    </row>
    <row r="717" spans="1:4">
      <c r="A717" s="13"/>
      <c r="B717" s="13"/>
      <c r="C717" s="22"/>
      <c r="D717" s="13"/>
    </row>
    <row r="718" spans="1:4">
      <c r="A718" s="13"/>
      <c r="B718" s="13"/>
      <c r="C718" s="22"/>
      <c r="D718" s="13"/>
    </row>
    <row r="719" spans="1:4">
      <c r="A719" s="13"/>
      <c r="B719" s="13"/>
      <c r="C719" s="22"/>
      <c r="D719" s="13"/>
    </row>
    <row r="720" spans="1:4">
      <c r="A720" s="13"/>
      <c r="B720" s="13"/>
      <c r="C720" s="22"/>
      <c r="D720" s="13"/>
    </row>
    <row r="721" spans="1:4">
      <c r="A721" s="13"/>
      <c r="B721" s="13"/>
      <c r="C721" s="22"/>
      <c r="D721" s="13"/>
    </row>
    <row r="722" spans="1:4">
      <c r="A722" s="13"/>
      <c r="B722" s="13"/>
      <c r="C722" s="22"/>
      <c r="D722" s="13"/>
    </row>
    <row r="723" spans="1:4">
      <c r="A723" s="13"/>
      <c r="B723" s="13"/>
      <c r="C723" s="22"/>
      <c r="D723" s="13"/>
    </row>
    <row r="724" spans="1:4">
      <c r="A724" s="13"/>
      <c r="B724" s="13"/>
      <c r="C724" s="22"/>
      <c r="D724" s="13"/>
    </row>
    <row r="725" spans="1:4">
      <c r="A725" s="13"/>
      <c r="B725" s="13"/>
      <c r="C725" s="22"/>
      <c r="D725" s="13"/>
    </row>
    <row r="726" spans="1:4">
      <c r="A726" s="13"/>
      <c r="B726" s="13"/>
      <c r="C726" s="22"/>
      <c r="D726" s="13"/>
    </row>
    <row r="727" spans="1:4">
      <c r="A727" s="13"/>
      <c r="B727" s="13"/>
      <c r="C727" s="22"/>
      <c r="D727" s="13"/>
    </row>
    <row r="728" spans="1:4">
      <c r="A728" s="13"/>
      <c r="B728" s="13"/>
      <c r="C728" s="22"/>
      <c r="D728" s="13"/>
    </row>
    <row r="729" spans="1:4">
      <c r="A729" s="13"/>
      <c r="B729" s="13"/>
      <c r="C729" s="22"/>
      <c r="D729" s="13"/>
    </row>
    <row r="730" spans="1:4">
      <c r="A730" s="13"/>
      <c r="B730" s="13"/>
      <c r="C730" s="22"/>
      <c r="D730" s="13"/>
    </row>
    <row r="731" spans="1:4">
      <c r="A731" s="13"/>
      <c r="B731" s="13"/>
      <c r="C731" s="22"/>
      <c r="D731" s="13"/>
    </row>
    <row r="732" spans="1:4">
      <c r="A732" s="13"/>
      <c r="B732" s="13"/>
      <c r="C732" s="22"/>
      <c r="D732" s="13"/>
    </row>
    <row r="733" spans="1:4">
      <c r="A733" s="13"/>
      <c r="B733" s="13"/>
      <c r="C733" s="22"/>
      <c r="D733" s="13"/>
    </row>
    <row r="734" spans="1:4">
      <c r="A734" s="13"/>
      <c r="B734" s="13"/>
      <c r="C734" s="22"/>
      <c r="D734" s="13"/>
    </row>
    <row r="735" spans="1:4">
      <c r="A735" s="13"/>
      <c r="B735" s="13"/>
      <c r="C735" s="22"/>
      <c r="D735" s="13"/>
    </row>
    <row r="736" spans="1:4">
      <c r="A736" s="13"/>
      <c r="B736" s="13"/>
      <c r="C736" s="22"/>
      <c r="D736" s="13"/>
    </row>
    <row r="737" spans="1:4">
      <c r="A737" s="13"/>
      <c r="B737" s="13"/>
      <c r="C737" s="22"/>
      <c r="D737" s="13"/>
    </row>
    <row r="738" spans="1:4">
      <c r="A738" s="13"/>
      <c r="B738" s="13"/>
      <c r="C738" s="22"/>
      <c r="D738" s="13"/>
    </row>
    <row r="739" spans="1:4">
      <c r="A739" s="13"/>
      <c r="B739" s="13"/>
      <c r="C739" s="22"/>
      <c r="D739" s="13"/>
    </row>
    <row r="740" spans="1:4">
      <c r="A740" s="13"/>
      <c r="B740" s="13"/>
      <c r="C740" s="22"/>
      <c r="D740" s="13"/>
    </row>
    <row r="741" spans="1:4">
      <c r="A741" s="13"/>
      <c r="B741" s="13"/>
      <c r="C741" s="22"/>
      <c r="D741" s="13"/>
    </row>
    <row r="742" spans="1:4">
      <c r="A742" s="13"/>
      <c r="B742" s="13"/>
      <c r="C742" s="22"/>
      <c r="D742" s="13"/>
    </row>
    <row r="743" spans="1:4">
      <c r="A743" s="13"/>
      <c r="B743" s="13"/>
      <c r="C743" s="22"/>
      <c r="D743" s="13"/>
    </row>
    <row r="744" spans="1:4">
      <c r="A744" s="13"/>
      <c r="B744" s="13"/>
      <c r="C744" s="22"/>
      <c r="D744" s="13"/>
    </row>
    <row r="745" spans="1:4">
      <c r="A745" s="13"/>
      <c r="B745" s="13"/>
      <c r="C745" s="22"/>
      <c r="D745" s="13"/>
    </row>
    <row r="746" spans="1:4">
      <c r="A746" s="13"/>
      <c r="B746" s="13"/>
      <c r="C746" s="22"/>
      <c r="D746" s="13"/>
    </row>
    <row r="747" spans="1:4">
      <c r="A747" s="13"/>
      <c r="B747" s="13"/>
      <c r="C747" s="22"/>
      <c r="D747" s="13"/>
    </row>
    <row r="748" spans="1:4">
      <c r="A748" s="13"/>
      <c r="B748" s="13"/>
      <c r="C748" s="22"/>
      <c r="D748" s="13"/>
    </row>
    <row r="749" spans="1:4">
      <c r="A749" s="13"/>
      <c r="B749" s="13"/>
      <c r="C749" s="22"/>
      <c r="D749" s="13"/>
    </row>
    <row r="750" spans="1:4">
      <c r="A750" s="13"/>
      <c r="B750" s="13"/>
      <c r="C750" s="22"/>
      <c r="D750" s="13"/>
    </row>
    <row r="751" spans="1:4">
      <c r="A751" s="13"/>
      <c r="B751" s="13"/>
      <c r="C751" s="22"/>
      <c r="D751" s="13"/>
    </row>
    <row r="752" spans="1:4">
      <c r="A752" s="13"/>
      <c r="B752" s="13"/>
      <c r="C752" s="22"/>
      <c r="D752" s="13"/>
    </row>
    <row r="753" spans="1:4">
      <c r="A753" s="13"/>
      <c r="B753" s="13"/>
      <c r="C753" s="22"/>
      <c r="D753" s="13"/>
    </row>
    <row r="754" spans="1:4">
      <c r="A754" s="13"/>
      <c r="B754" s="13"/>
      <c r="C754" s="22"/>
      <c r="D754" s="13"/>
    </row>
    <row r="755" spans="1:4">
      <c r="A755" s="13"/>
      <c r="B755" s="13"/>
      <c r="C755" s="22"/>
      <c r="D755" s="13"/>
    </row>
    <row r="756" spans="1:4">
      <c r="A756" s="13"/>
      <c r="B756" s="13"/>
      <c r="C756" s="22"/>
      <c r="D756" s="13"/>
    </row>
    <row r="757" spans="1:4">
      <c r="A757" s="13"/>
      <c r="B757" s="13"/>
      <c r="C757" s="22"/>
      <c r="D757" s="13"/>
    </row>
    <row r="758" spans="1:4">
      <c r="A758" s="13"/>
      <c r="B758" s="13"/>
      <c r="C758" s="22"/>
      <c r="D758" s="13"/>
    </row>
    <row r="759" spans="1:4">
      <c r="A759" s="13"/>
      <c r="B759" s="13"/>
      <c r="C759" s="22"/>
      <c r="D759" s="13"/>
    </row>
    <row r="760" spans="1:4">
      <c r="A760" s="13"/>
      <c r="B760" s="13"/>
      <c r="C760" s="22"/>
      <c r="D760" s="13"/>
    </row>
    <row r="761" spans="1:4">
      <c r="A761" s="13"/>
      <c r="B761" s="13"/>
      <c r="C761" s="22"/>
      <c r="D761" s="13"/>
    </row>
    <row r="762" spans="1:4">
      <c r="A762" s="13"/>
      <c r="B762" s="13"/>
      <c r="C762" s="22"/>
      <c r="D762" s="13"/>
    </row>
    <row r="763" spans="1:4">
      <c r="A763" s="13"/>
      <c r="B763" s="13"/>
      <c r="C763" s="22"/>
      <c r="D763" s="13"/>
    </row>
    <row r="764" spans="1:4">
      <c r="A764" s="13"/>
      <c r="B764" s="13"/>
      <c r="C764" s="22"/>
      <c r="D764" s="13"/>
    </row>
    <row r="765" spans="1:4">
      <c r="A765" s="13"/>
      <c r="B765" s="13"/>
      <c r="C765" s="22"/>
      <c r="D765" s="13"/>
    </row>
    <row r="766" spans="1:4">
      <c r="A766" s="13"/>
      <c r="B766" s="13"/>
      <c r="C766" s="22"/>
      <c r="D766" s="13"/>
    </row>
    <row r="767" spans="1:4">
      <c r="A767" s="13"/>
      <c r="B767" s="13"/>
      <c r="C767" s="22"/>
      <c r="D767" s="13"/>
    </row>
    <row r="768" spans="1:4">
      <c r="A768" s="13"/>
      <c r="B768" s="13"/>
      <c r="C768" s="22"/>
      <c r="D768" s="13"/>
    </row>
    <row r="769" spans="1:4">
      <c r="A769" s="13"/>
      <c r="B769" s="13"/>
      <c r="C769" s="22"/>
      <c r="D769" s="13"/>
    </row>
    <row r="770" spans="1:4">
      <c r="A770" s="13"/>
      <c r="B770" s="13"/>
      <c r="C770" s="22"/>
      <c r="D770" s="13"/>
    </row>
    <row r="771" spans="1:4">
      <c r="A771" s="13"/>
      <c r="B771" s="13"/>
      <c r="C771" s="22"/>
      <c r="D771" s="13"/>
    </row>
    <row r="772" spans="1:4">
      <c r="A772" s="13"/>
      <c r="B772" s="13"/>
      <c r="C772" s="22"/>
      <c r="D772" s="13"/>
    </row>
    <row r="773" spans="1:4">
      <c r="A773" s="13"/>
      <c r="B773" s="13"/>
      <c r="C773" s="22"/>
      <c r="D773" s="13"/>
    </row>
    <row r="774" spans="1:4">
      <c r="A774" s="13"/>
      <c r="B774" s="13"/>
      <c r="C774" s="22"/>
      <c r="D774" s="13"/>
    </row>
    <row r="775" spans="1:4">
      <c r="A775" s="13"/>
      <c r="B775" s="13"/>
      <c r="C775" s="22"/>
      <c r="D775" s="13"/>
    </row>
    <row r="776" spans="1:4">
      <c r="A776" s="13"/>
      <c r="B776" s="13"/>
      <c r="C776" s="22"/>
      <c r="D776" s="13"/>
    </row>
    <row r="777" spans="1:4">
      <c r="A777" s="13"/>
      <c r="B777" s="13"/>
      <c r="C777" s="22"/>
      <c r="D777" s="13"/>
    </row>
    <row r="778" spans="1:4">
      <c r="A778" s="13"/>
      <c r="B778" s="13"/>
      <c r="C778" s="22"/>
      <c r="D778" s="13"/>
    </row>
    <row r="779" spans="1:4">
      <c r="A779" s="13"/>
      <c r="B779" s="13"/>
      <c r="C779" s="22"/>
      <c r="D779" s="13"/>
    </row>
    <row r="780" spans="1:4">
      <c r="A780" s="13"/>
      <c r="B780" s="13"/>
      <c r="C780" s="22"/>
      <c r="D780" s="13"/>
    </row>
    <row r="781" spans="1:4">
      <c r="A781" s="13"/>
      <c r="B781" s="13"/>
      <c r="C781" s="22"/>
      <c r="D781" s="13"/>
    </row>
    <row r="782" spans="1:4">
      <c r="A782" s="13"/>
      <c r="B782" s="13"/>
      <c r="C782" s="22"/>
      <c r="D782" s="13"/>
    </row>
    <row r="783" spans="1:4">
      <c r="A783" s="13"/>
      <c r="B783" s="13"/>
      <c r="C783" s="22"/>
      <c r="D783" s="13"/>
    </row>
    <row r="784" spans="1:4">
      <c r="A784" s="13"/>
      <c r="B784" s="13"/>
      <c r="C784" s="22"/>
      <c r="D784" s="13"/>
    </row>
    <row r="785" spans="1:4">
      <c r="A785" s="13"/>
      <c r="B785" s="13"/>
      <c r="C785" s="22"/>
      <c r="D785" s="13"/>
    </row>
    <row r="786" spans="1:4">
      <c r="A786" s="13"/>
      <c r="B786" s="13"/>
      <c r="C786" s="22"/>
      <c r="D786" s="13"/>
    </row>
    <row r="787" spans="1:4">
      <c r="A787" s="13"/>
      <c r="B787" s="13"/>
      <c r="C787" s="22"/>
      <c r="D787" s="13"/>
    </row>
    <row r="788" spans="1:4">
      <c r="A788" s="13"/>
      <c r="B788" s="13"/>
      <c r="C788" s="22"/>
      <c r="D788" s="13"/>
    </row>
    <row r="789" spans="1:4">
      <c r="A789" s="13"/>
      <c r="B789" s="13"/>
      <c r="C789" s="22"/>
      <c r="D789" s="13"/>
    </row>
    <row r="790" spans="1:4">
      <c r="A790" s="13"/>
      <c r="B790" s="13"/>
      <c r="C790" s="22"/>
      <c r="D790" s="13"/>
    </row>
    <row r="791" spans="1:4">
      <c r="A791" s="13"/>
      <c r="B791" s="13"/>
      <c r="C791" s="22"/>
      <c r="D791" s="13"/>
    </row>
    <row r="792" spans="1:4">
      <c r="A792" s="13"/>
      <c r="B792" s="13"/>
      <c r="C792" s="22"/>
      <c r="D792" s="13"/>
    </row>
    <row r="793" spans="1:4">
      <c r="A793" s="13"/>
      <c r="B793" s="13"/>
      <c r="C793" s="22"/>
      <c r="D793" s="13"/>
    </row>
    <row r="794" spans="1:4">
      <c r="A794" s="13"/>
      <c r="B794" s="13"/>
      <c r="C794" s="22"/>
      <c r="D794" s="13"/>
    </row>
    <row r="795" spans="1:4">
      <c r="A795" s="13"/>
      <c r="B795" s="13"/>
      <c r="C795" s="22"/>
      <c r="D795" s="13"/>
    </row>
    <row r="796" spans="1:4">
      <c r="A796" s="13"/>
      <c r="B796" s="13"/>
      <c r="C796" s="22"/>
      <c r="D796" s="13"/>
    </row>
    <row r="797" spans="1:4">
      <c r="A797" s="13"/>
      <c r="B797" s="13"/>
      <c r="C797" s="22"/>
      <c r="D797" s="13"/>
    </row>
    <row r="798" spans="1:4">
      <c r="A798" s="13"/>
      <c r="B798" s="13"/>
      <c r="C798" s="22"/>
      <c r="D798" s="13"/>
    </row>
    <row r="799" spans="1:4">
      <c r="A799" s="13"/>
      <c r="B799" s="13"/>
      <c r="C799" s="22"/>
      <c r="D799" s="13"/>
    </row>
    <row r="800" spans="1:4">
      <c r="A800" s="13"/>
      <c r="B800" s="13"/>
      <c r="C800" s="22"/>
      <c r="D800" s="13"/>
    </row>
    <row r="801" spans="1:4">
      <c r="A801" s="13"/>
      <c r="B801" s="13"/>
      <c r="C801" s="22"/>
      <c r="D801" s="13"/>
    </row>
    <row r="802" spans="1:4">
      <c r="A802" s="13"/>
      <c r="B802" s="13"/>
      <c r="C802" s="22"/>
      <c r="D802" s="13"/>
    </row>
    <row r="803" spans="1:4">
      <c r="A803" s="13"/>
      <c r="B803" s="13"/>
      <c r="C803" s="22"/>
      <c r="D803" s="13"/>
    </row>
    <row r="804" spans="1:4">
      <c r="A804" s="13"/>
      <c r="B804" s="13"/>
      <c r="C804" s="22"/>
      <c r="D804" s="13"/>
    </row>
    <row r="805" spans="1:4">
      <c r="A805" s="13"/>
      <c r="B805" s="13"/>
      <c r="C805" s="22"/>
      <c r="D805" s="13"/>
    </row>
    <row r="806" spans="1:4">
      <c r="A806" s="13"/>
      <c r="B806" s="13"/>
      <c r="C806" s="22"/>
      <c r="D806" s="13"/>
    </row>
    <row r="807" spans="1:4">
      <c r="A807" s="13"/>
      <c r="B807" s="13"/>
      <c r="C807" s="22"/>
      <c r="D807" s="13"/>
    </row>
    <row r="808" spans="1:4">
      <c r="A808" s="13"/>
      <c r="B808" s="13"/>
      <c r="C808" s="22"/>
      <c r="D808" s="13"/>
    </row>
    <row r="809" spans="1:4">
      <c r="A809" s="13"/>
      <c r="B809" s="13"/>
      <c r="C809" s="22"/>
      <c r="D809" s="13"/>
    </row>
    <row r="810" spans="1:4">
      <c r="A810" s="13"/>
      <c r="B810" s="13"/>
      <c r="C810" s="22"/>
      <c r="D810" s="13"/>
    </row>
    <row r="811" spans="1:4">
      <c r="A811" s="13"/>
      <c r="B811" s="13"/>
      <c r="C811" s="22"/>
      <c r="D811" s="13"/>
    </row>
    <row r="812" spans="1:4">
      <c r="A812" s="13"/>
      <c r="B812" s="13"/>
      <c r="C812" s="22"/>
      <c r="D812" s="13"/>
    </row>
    <row r="813" spans="1:4">
      <c r="A813" s="13"/>
      <c r="B813" s="13"/>
      <c r="C813" s="22"/>
      <c r="D813" s="13"/>
    </row>
    <row r="814" spans="1:4">
      <c r="A814" s="13"/>
      <c r="B814" s="13"/>
      <c r="C814" s="22"/>
      <c r="D814" s="13"/>
    </row>
    <row r="815" spans="1:4">
      <c r="A815" s="13"/>
      <c r="B815" s="13"/>
      <c r="C815" s="22"/>
      <c r="D815" s="13"/>
    </row>
    <row r="816" spans="1:4">
      <c r="A816" s="13"/>
      <c r="B816" s="13"/>
      <c r="C816" s="22"/>
      <c r="D816" s="13"/>
    </row>
    <row r="817" spans="1:4">
      <c r="A817" s="13"/>
      <c r="B817" s="13"/>
      <c r="C817" s="22"/>
      <c r="D817" s="13"/>
    </row>
    <row r="818" spans="1:4">
      <c r="A818" s="13"/>
      <c r="B818" s="13"/>
      <c r="C818" s="22"/>
      <c r="D818" s="13"/>
    </row>
    <row r="819" spans="1:4">
      <c r="A819" s="13"/>
      <c r="B819" s="13"/>
      <c r="C819" s="22"/>
      <c r="D819" s="13"/>
    </row>
    <row r="820" spans="1:4">
      <c r="A820" s="13"/>
      <c r="B820" s="13"/>
      <c r="C820" s="22"/>
      <c r="D820" s="13"/>
    </row>
    <row r="821" spans="1:4">
      <c r="A821" s="13"/>
      <c r="B821" s="13"/>
      <c r="C821" s="22"/>
      <c r="D821" s="13"/>
    </row>
    <row r="822" spans="1:4">
      <c r="A822" s="13"/>
      <c r="B822" s="13"/>
      <c r="C822" s="22"/>
      <c r="D822" s="13"/>
    </row>
    <row r="823" spans="1:4">
      <c r="A823" s="13"/>
      <c r="B823" s="13"/>
      <c r="C823" s="22"/>
      <c r="D823" s="13"/>
    </row>
    <row r="824" spans="1:4">
      <c r="A824" s="13"/>
      <c r="B824" s="13"/>
      <c r="C824" s="22"/>
      <c r="D824" s="13"/>
    </row>
    <row r="825" spans="1:4">
      <c r="A825" s="13"/>
      <c r="B825" s="13"/>
      <c r="C825" s="22"/>
      <c r="D825" s="13"/>
    </row>
    <row r="826" spans="1:4">
      <c r="A826" s="13"/>
      <c r="B826" s="13"/>
      <c r="C826" s="22"/>
      <c r="D826" s="13"/>
    </row>
    <row r="827" spans="1:4">
      <c r="A827" s="13"/>
      <c r="B827" s="13"/>
      <c r="C827" s="22"/>
      <c r="D827" s="13"/>
    </row>
    <row r="828" spans="1:4">
      <c r="A828" s="13"/>
      <c r="B828" s="13"/>
      <c r="C828" s="22"/>
      <c r="D828" s="13"/>
    </row>
    <row r="829" spans="1:4">
      <c r="A829" s="13"/>
      <c r="B829" s="13"/>
      <c r="C829" s="22"/>
      <c r="D829" s="13"/>
    </row>
    <row r="830" spans="1:4">
      <c r="A830" s="13"/>
      <c r="B830" s="13"/>
      <c r="C830" s="22"/>
      <c r="D830" s="13"/>
    </row>
    <row r="831" spans="1:4">
      <c r="A831" s="13"/>
      <c r="B831" s="13"/>
      <c r="C831" s="22"/>
      <c r="D831" s="13"/>
    </row>
    <row r="832" spans="1:4">
      <c r="A832" s="13"/>
      <c r="B832" s="13"/>
      <c r="C832" s="22"/>
      <c r="D832" s="13"/>
    </row>
    <row r="833" spans="1:4">
      <c r="A833" s="13"/>
      <c r="B833" s="13"/>
      <c r="C833" s="22"/>
      <c r="D833" s="13"/>
    </row>
    <row r="834" spans="1:4">
      <c r="A834" s="13"/>
      <c r="B834" s="13"/>
      <c r="C834" s="22"/>
      <c r="D834" s="13"/>
    </row>
    <row r="835" spans="1:4">
      <c r="A835" s="13"/>
      <c r="B835" s="13"/>
      <c r="C835" s="22"/>
      <c r="D835" s="13"/>
    </row>
    <row r="836" spans="1:4">
      <c r="A836" s="13"/>
      <c r="B836" s="13"/>
      <c r="C836" s="22"/>
      <c r="D836" s="13"/>
    </row>
    <row r="837" spans="1:4">
      <c r="A837" s="13"/>
      <c r="B837" s="13"/>
      <c r="C837" s="22"/>
      <c r="D837" s="13"/>
    </row>
    <row r="838" spans="1:4">
      <c r="A838" s="13"/>
      <c r="B838" s="13"/>
      <c r="C838" s="22"/>
      <c r="D838" s="13"/>
    </row>
    <row r="839" spans="1:4">
      <c r="A839" s="13"/>
      <c r="B839" s="13"/>
      <c r="C839" s="22"/>
      <c r="D839" s="13"/>
    </row>
    <row r="840" spans="1:4">
      <c r="A840" s="13"/>
      <c r="B840" s="13"/>
      <c r="C840" s="22"/>
      <c r="D840" s="13"/>
    </row>
    <row r="841" spans="1:4">
      <c r="A841" s="13"/>
      <c r="B841" s="13"/>
      <c r="C841" s="22"/>
      <c r="D841" s="13"/>
    </row>
    <row r="842" spans="1:4">
      <c r="A842" s="13"/>
      <c r="B842" s="13"/>
      <c r="C842" s="22"/>
      <c r="D842" s="13"/>
    </row>
    <row r="843" spans="1:4">
      <c r="A843" s="13"/>
      <c r="B843" s="13"/>
      <c r="C843" s="22"/>
      <c r="D843" s="13"/>
    </row>
    <row r="844" spans="1:4">
      <c r="A844" s="13"/>
      <c r="B844" s="13"/>
      <c r="C844" s="22"/>
      <c r="D844" s="13"/>
    </row>
    <row r="845" spans="1:4">
      <c r="A845" s="13"/>
      <c r="B845" s="13"/>
      <c r="C845" s="22"/>
      <c r="D845" s="13"/>
    </row>
    <row r="846" spans="1:4">
      <c r="A846" s="13"/>
      <c r="B846" s="13"/>
      <c r="C846" s="22"/>
      <c r="D846" s="13"/>
    </row>
    <row r="847" spans="1:4">
      <c r="A847" s="13"/>
      <c r="B847" s="13"/>
      <c r="C847" s="22"/>
      <c r="D847" s="13"/>
    </row>
    <row r="848" spans="1:4">
      <c r="A848" s="13"/>
      <c r="B848" s="13"/>
      <c r="C848" s="22"/>
      <c r="D848" s="13"/>
    </row>
    <row r="849" spans="1:4">
      <c r="A849" s="13"/>
      <c r="B849" s="13"/>
      <c r="C849" s="22"/>
      <c r="D849" s="13"/>
    </row>
    <row r="850" spans="1:4">
      <c r="A850" s="13"/>
      <c r="B850" s="13"/>
      <c r="C850" s="22"/>
      <c r="D850" s="13"/>
    </row>
    <row r="851" spans="1:4">
      <c r="A851" s="13"/>
      <c r="B851" s="13"/>
      <c r="C851" s="22"/>
      <c r="D851" s="13"/>
    </row>
    <row r="852" spans="1:4">
      <c r="A852" s="13"/>
      <c r="B852" s="13"/>
      <c r="C852" s="22"/>
      <c r="D852" s="13"/>
    </row>
    <row r="853" spans="1:4">
      <c r="A853" s="13"/>
      <c r="B853" s="13"/>
      <c r="C853" s="22"/>
      <c r="D853" s="13"/>
    </row>
    <row r="854" spans="1:4">
      <c r="A854" s="13"/>
      <c r="B854" s="13"/>
      <c r="C854" s="22"/>
      <c r="D854" s="13"/>
    </row>
    <row r="855" spans="1:4">
      <c r="A855" s="13"/>
      <c r="B855" s="13"/>
      <c r="C855" s="22"/>
      <c r="D855" s="13"/>
    </row>
    <row r="856" spans="1:4">
      <c r="A856" s="13"/>
      <c r="B856" s="13"/>
      <c r="C856" s="22"/>
      <c r="D856" s="13"/>
    </row>
    <row r="857" spans="1:4">
      <c r="A857" s="13"/>
      <c r="B857" s="13"/>
      <c r="C857" s="22"/>
      <c r="D857" s="13"/>
    </row>
    <row r="858" spans="1:4">
      <c r="A858" s="13"/>
      <c r="B858" s="13"/>
      <c r="C858" s="22"/>
      <c r="D858" s="13"/>
    </row>
    <row r="859" spans="1:4">
      <c r="A859" s="13"/>
      <c r="B859" s="13"/>
      <c r="C859" s="22"/>
      <c r="D859" s="13"/>
    </row>
    <row r="860" spans="1:4">
      <c r="A860" s="13"/>
      <c r="B860" s="13"/>
      <c r="C860" s="22"/>
      <c r="D860" s="13"/>
    </row>
    <row r="861" spans="1:4">
      <c r="A861" s="13"/>
      <c r="B861" s="13"/>
      <c r="C861" s="22"/>
      <c r="D861" s="13"/>
    </row>
    <row r="862" spans="1:4">
      <c r="A862" s="13"/>
      <c r="B862" s="13"/>
      <c r="C862" s="22"/>
      <c r="D862" s="13"/>
    </row>
    <row r="863" spans="1:4">
      <c r="A863" s="13"/>
      <c r="B863" s="13"/>
      <c r="C863" s="22"/>
      <c r="D863" s="13"/>
    </row>
    <row r="864" spans="1:4">
      <c r="A864" s="13"/>
      <c r="B864" s="13"/>
      <c r="C864" s="22"/>
      <c r="D864" s="13"/>
    </row>
    <row r="865" spans="1:4">
      <c r="A865" s="13"/>
      <c r="B865" s="13"/>
      <c r="C865" s="22"/>
      <c r="D865" s="13"/>
    </row>
    <row r="866" spans="1:4">
      <c r="A866" s="13"/>
      <c r="B866" s="13"/>
      <c r="C866" s="22"/>
      <c r="D866" s="13"/>
    </row>
    <row r="867" spans="1:4">
      <c r="A867" s="13"/>
      <c r="B867" s="13"/>
      <c r="C867" s="22"/>
      <c r="D867" s="13"/>
    </row>
    <row r="868" spans="1:4">
      <c r="A868" s="13"/>
      <c r="B868" s="13"/>
      <c r="C868" s="22"/>
      <c r="D868" s="13"/>
    </row>
    <row r="869" spans="1:4">
      <c r="A869" s="13"/>
      <c r="B869" s="13"/>
      <c r="C869" s="22"/>
      <c r="D869" s="13"/>
    </row>
    <row r="870" spans="1:4">
      <c r="A870" s="13"/>
      <c r="B870" s="13"/>
      <c r="C870" s="22"/>
      <c r="D870" s="13"/>
    </row>
    <row r="871" spans="1:4">
      <c r="A871" s="13"/>
      <c r="B871" s="13"/>
      <c r="C871" s="22"/>
      <c r="D871" s="13"/>
    </row>
    <row r="872" spans="1:4">
      <c r="A872" s="13"/>
      <c r="B872" s="13"/>
      <c r="C872" s="22"/>
      <c r="D872" s="13"/>
    </row>
    <row r="873" spans="1:4">
      <c r="A873" s="13"/>
      <c r="B873" s="13"/>
      <c r="C873" s="22"/>
      <c r="D873" s="13"/>
    </row>
    <row r="874" spans="1:4">
      <c r="A874" s="13"/>
      <c r="B874" s="13"/>
      <c r="C874" s="22"/>
      <c r="D874" s="13"/>
    </row>
    <row r="875" spans="1:4">
      <c r="A875" s="13"/>
      <c r="B875" s="13"/>
      <c r="C875" s="22"/>
      <c r="D875" s="13"/>
    </row>
    <row r="876" spans="1:4">
      <c r="A876" s="13"/>
      <c r="B876" s="13"/>
      <c r="C876" s="22"/>
      <c r="D876" s="13"/>
    </row>
    <row r="877" spans="1:4">
      <c r="A877" s="13"/>
      <c r="B877" s="13"/>
      <c r="C877" s="22"/>
      <c r="D877" s="13"/>
    </row>
    <row r="878" spans="1:4">
      <c r="A878" s="13"/>
      <c r="B878" s="13"/>
      <c r="C878" s="22"/>
      <c r="D878" s="13"/>
    </row>
    <row r="879" spans="1:4">
      <c r="A879" s="13"/>
      <c r="B879" s="13"/>
      <c r="C879" s="22"/>
      <c r="D879" s="13"/>
    </row>
    <row r="880" spans="1:4">
      <c r="A880" s="13"/>
      <c r="B880" s="13"/>
      <c r="C880" s="22"/>
      <c r="D880" s="13"/>
    </row>
    <row r="881" spans="1:4">
      <c r="A881" s="13"/>
      <c r="B881" s="13"/>
      <c r="C881" s="22"/>
      <c r="D881" s="13"/>
    </row>
    <row r="882" spans="1:4">
      <c r="A882" s="13"/>
      <c r="B882" s="13"/>
      <c r="C882" s="22"/>
      <c r="D882" s="13"/>
    </row>
    <row r="883" spans="1:4">
      <c r="A883" s="13"/>
      <c r="B883" s="13"/>
      <c r="C883" s="22"/>
      <c r="D883" s="13"/>
    </row>
    <row r="884" spans="1:4">
      <c r="A884" s="13"/>
      <c r="B884" s="13"/>
      <c r="C884" s="22"/>
      <c r="D884" s="13"/>
    </row>
    <row r="885" spans="1:4">
      <c r="A885" s="13"/>
      <c r="B885" s="13"/>
      <c r="C885" s="22"/>
      <c r="D885" s="13"/>
    </row>
    <row r="886" spans="1:4">
      <c r="A886" s="13"/>
      <c r="B886" s="13"/>
      <c r="C886" s="22"/>
      <c r="D886" s="13"/>
    </row>
    <row r="887" spans="1:4">
      <c r="A887" s="13"/>
      <c r="B887" s="13"/>
      <c r="C887" s="22"/>
      <c r="D887" s="13"/>
    </row>
    <row r="888" spans="1:4">
      <c r="A888" s="13"/>
      <c r="B888" s="13"/>
      <c r="C888" s="22"/>
      <c r="D888" s="13"/>
    </row>
    <row r="889" spans="1:4">
      <c r="A889" s="13"/>
      <c r="B889" s="13"/>
      <c r="C889" s="22"/>
      <c r="D889" s="13"/>
    </row>
    <row r="890" spans="1:4">
      <c r="A890" s="13"/>
      <c r="B890" s="13"/>
      <c r="C890" s="22"/>
      <c r="D890" s="13"/>
    </row>
    <row r="891" spans="1:4">
      <c r="A891" s="13"/>
      <c r="B891" s="13"/>
      <c r="C891" s="22"/>
      <c r="D891" s="13"/>
    </row>
    <row r="892" spans="1:4">
      <c r="A892" s="13"/>
      <c r="B892" s="13"/>
      <c r="C892" s="22"/>
      <c r="D892" s="13"/>
    </row>
    <row r="893" spans="1:4">
      <c r="A893" s="13"/>
      <c r="B893" s="13"/>
      <c r="C893" s="22"/>
      <c r="D893" s="13"/>
    </row>
    <row r="894" spans="1:4">
      <c r="A894" s="13"/>
      <c r="B894" s="13"/>
      <c r="C894" s="22"/>
      <c r="D894" s="13"/>
    </row>
    <row r="895" spans="1:4">
      <c r="A895" s="13"/>
      <c r="B895" s="13"/>
      <c r="C895" s="22"/>
      <c r="D895" s="13"/>
    </row>
    <row r="896" spans="1:4">
      <c r="A896" s="13"/>
      <c r="B896" s="13"/>
      <c r="C896" s="22"/>
      <c r="D896" s="13"/>
    </row>
    <row r="897" spans="1:4">
      <c r="A897" s="13"/>
      <c r="B897" s="13"/>
      <c r="C897" s="22"/>
      <c r="D897" s="13"/>
    </row>
    <row r="898" spans="1:4">
      <c r="A898" s="13"/>
      <c r="B898" s="13"/>
      <c r="C898" s="22"/>
      <c r="D898" s="13"/>
    </row>
    <row r="899" spans="1:4">
      <c r="A899" s="13"/>
      <c r="B899" s="13"/>
      <c r="C899" s="22"/>
      <c r="D899" s="13"/>
    </row>
    <row r="900" spans="1:4">
      <c r="A900" s="13"/>
      <c r="B900" s="13"/>
      <c r="C900" s="22"/>
      <c r="D900" s="13"/>
    </row>
    <row r="901" spans="1:4">
      <c r="A901" s="13"/>
      <c r="B901" s="13"/>
      <c r="C901" s="22"/>
      <c r="D901" s="13"/>
    </row>
    <row r="902" spans="1:4">
      <c r="A902" s="13"/>
      <c r="B902" s="13"/>
      <c r="C902" s="22"/>
      <c r="D902" s="13"/>
    </row>
    <row r="903" spans="1:4">
      <c r="A903" s="13"/>
      <c r="B903" s="13"/>
      <c r="C903" s="22"/>
      <c r="D903" s="13"/>
    </row>
    <row r="904" spans="1:4">
      <c r="A904" s="13"/>
      <c r="B904" s="13"/>
      <c r="C904" s="22"/>
      <c r="D904" s="13"/>
    </row>
    <row r="905" spans="1:4">
      <c r="A905" s="13"/>
      <c r="B905" s="13"/>
      <c r="C905" s="22"/>
      <c r="D905" s="13"/>
    </row>
    <row r="906" spans="1:4">
      <c r="A906" s="13"/>
      <c r="B906" s="13"/>
      <c r="C906" s="22"/>
      <c r="D906" s="13"/>
    </row>
    <row r="907" spans="1:4">
      <c r="A907" s="13"/>
      <c r="B907" s="13"/>
      <c r="C907" s="22"/>
      <c r="D907" s="13"/>
    </row>
    <row r="908" spans="1:4">
      <c r="A908" s="13"/>
      <c r="B908" s="13"/>
      <c r="C908" s="22"/>
      <c r="D908" s="13"/>
    </row>
    <row r="909" spans="1:4">
      <c r="A909" s="13"/>
      <c r="B909" s="13"/>
      <c r="C909" s="22"/>
      <c r="D909" s="13"/>
    </row>
    <row r="910" spans="1:4">
      <c r="A910" s="13"/>
      <c r="B910" s="13"/>
      <c r="C910" s="22"/>
      <c r="D910" s="13"/>
    </row>
    <row r="911" spans="1:4">
      <c r="A911" s="13"/>
      <c r="B911" s="13"/>
      <c r="C911" s="22"/>
      <c r="D911" s="13"/>
    </row>
    <row r="912" spans="1:4">
      <c r="A912" s="13"/>
      <c r="B912" s="13"/>
      <c r="C912" s="22"/>
      <c r="D912" s="13"/>
    </row>
    <row r="913" spans="1:4">
      <c r="A913" s="13"/>
      <c r="B913" s="13"/>
      <c r="C913" s="22"/>
      <c r="D913" s="13"/>
    </row>
    <row r="914" spans="1:4">
      <c r="A914" s="13"/>
      <c r="B914" s="13"/>
      <c r="C914" s="22"/>
      <c r="D914" s="13"/>
    </row>
    <row r="915" spans="1:4">
      <c r="A915" s="13"/>
      <c r="B915" s="13"/>
      <c r="C915" s="22"/>
      <c r="D915" s="13"/>
    </row>
    <row r="916" spans="1:4">
      <c r="A916" s="13"/>
      <c r="B916" s="13"/>
      <c r="C916" s="22"/>
      <c r="D916" s="13"/>
    </row>
    <row r="917" spans="1:4">
      <c r="A917" s="13"/>
      <c r="B917" s="13"/>
      <c r="C917" s="22"/>
      <c r="D917" s="13"/>
    </row>
    <row r="918" spans="1:4">
      <c r="A918" s="13"/>
      <c r="B918" s="13"/>
      <c r="C918" s="22"/>
      <c r="D918" s="13"/>
    </row>
    <row r="919" spans="1:4">
      <c r="A919" s="13"/>
      <c r="B919" s="13"/>
      <c r="C919" s="22"/>
      <c r="D919" s="13"/>
    </row>
    <row r="920" spans="1:4">
      <c r="A920" s="13"/>
      <c r="B920" s="13"/>
      <c r="C920" s="22"/>
      <c r="D920" s="13"/>
    </row>
    <row r="921" spans="1:4">
      <c r="A921" s="13"/>
      <c r="B921" s="13"/>
      <c r="C921" s="22"/>
      <c r="D921" s="13"/>
    </row>
    <row r="922" spans="1:4">
      <c r="A922" s="18"/>
      <c r="B922" s="13"/>
      <c r="C922" s="22"/>
      <c r="D922" s="22"/>
    </row>
  </sheetData>
  <sheetProtection sheet="1" objects="1" scenarios="1"/>
  <mergeCells count="42">
    <mergeCell ref="A339:D339"/>
    <mergeCell ref="A240:D240"/>
    <mergeCell ref="A249:D249"/>
    <mergeCell ref="A258:D258"/>
    <mergeCell ref="A267:D267"/>
    <mergeCell ref="A276:D276"/>
    <mergeCell ref="A285:D285"/>
    <mergeCell ref="A294:D294"/>
    <mergeCell ref="A303:D303"/>
    <mergeCell ref="A312:D312"/>
    <mergeCell ref="A320:D320"/>
    <mergeCell ref="A331:D331"/>
    <mergeCell ref="A231:D231"/>
    <mergeCell ref="A135:D135"/>
    <mergeCell ref="A144:D144"/>
    <mergeCell ref="A154:D154"/>
    <mergeCell ref="A163:D163"/>
    <mergeCell ref="A172:D172"/>
    <mergeCell ref="A180:D180"/>
    <mergeCell ref="A188:D188"/>
    <mergeCell ref="A197:D197"/>
    <mergeCell ref="A206:D206"/>
    <mergeCell ref="A214:D214"/>
    <mergeCell ref="A222:D222"/>
    <mergeCell ref="A124:D124"/>
    <mergeCell ref="B7:D7"/>
    <mergeCell ref="B8:D8"/>
    <mergeCell ref="A10:D10"/>
    <mergeCell ref="A19:D19"/>
    <mergeCell ref="A32:D32"/>
    <mergeCell ref="A47:D47"/>
    <mergeCell ref="A56:D56"/>
    <mergeCell ref="A67:D67"/>
    <mergeCell ref="A90:D90"/>
    <mergeCell ref="A103:D103"/>
    <mergeCell ref="A113:D113"/>
    <mergeCell ref="B6:D6"/>
    <mergeCell ref="A1:D1"/>
    <mergeCell ref="B2:D2"/>
    <mergeCell ref="B3:D3"/>
    <mergeCell ref="B4:D4"/>
    <mergeCell ref="B5:D5"/>
  </mergeCells>
  <dataValidations count="1">
    <dataValidation type="list" allowBlank="1" showInputMessage="1" showErrorMessage="1" sqref="B7:D7">
      <formula1>Quest6</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A1:BS34"/>
  <sheetViews>
    <sheetView topLeftCell="A5" workbookViewId="0">
      <selection activeCell="B1" sqref="B1:AI1"/>
    </sheetView>
  </sheetViews>
  <sheetFormatPr defaultRowHeight="15"/>
  <cols>
    <col min="2" max="6" width="20.7109375" customWidth="1"/>
    <col min="7" max="8" width="20.7109375" style="1" customWidth="1"/>
    <col min="9" max="9" width="20.7109375" customWidth="1"/>
    <col min="10" max="10" width="20.7109375" style="1" customWidth="1"/>
    <col min="11" max="67" width="20.7109375" customWidth="1"/>
  </cols>
  <sheetData>
    <row r="1" spans="1:71">
      <c r="B1" s="1"/>
      <c r="C1" s="1"/>
      <c r="D1" s="1"/>
      <c r="E1" s="1"/>
      <c r="F1" s="1"/>
      <c r="I1" s="1"/>
      <c r="K1" s="1"/>
      <c r="L1" s="1"/>
      <c r="M1" s="1"/>
      <c r="N1" s="1"/>
      <c r="O1" s="1"/>
      <c r="P1" s="1"/>
      <c r="Q1" s="1"/>
      <c r="R1" s="1"/>
      <c r="S1" s="1"/>
      <c r="T1" s="1"/>
      <c r="U1" s="1"/>
      <c r="V1" s="1"/>
      <c r="W1" s="1"/>
      <c r="X1" s="1"/>
      <c r="Y1" s="1"/>
      <c r="Z1" s="1"/>
      <c r="AA1" s="1"/>
      <c r="AB1" s="1"/>
      <c r="AC1" s="1"/>
      <c r="AD1" s="1"/>
      <c r="AE1" s="1"/>
      <c r="AF1" s="1"/>
      <c r="AG1" s="1"/>
      <c r="AH1" s="1"/>
      <c r="AI1" s="1"/>
    </row>
    <row r="3" spans="1:71" s="1" customFormat="1" ht="100.15" customHeight="1">
      <c r="A3" s="1" t="s">
        <v>86</v>
      </c>
      <c r="B3" s="1" t="s">
        <v>222</v>
      </c>
      <c r="C3" s="1" t="s">
        <v>300</v>
      </c>
      <c r="D3" s="1" t="s">
        <v>301</v>
      </c>
      <c r="E3" s="1" t="s">
        <v>302</v>
      </c>
      <c r="F3" s="1" t="s">
        <v>303</v>
      </c>
      <c r="G3" s="1" t="s">
        <v>304</v>
      </c>
      <c r="H3" s="1" t="s">
        <v>305</v>
      </c>
      <c r="I3" s="1" t="s">
        <v>306</v>
      </c>
      <c r="J3" s="1" t="s">
        <v>307</v>
      </c>
      <c r="K3" s="1" t="s">
        <v>308</v>
      </c>
      <c r="L3" s="1" t="s">
        <v>309</v>
      </c>
      <c r="M3" s="1" t="s">
        <v>310</v>
      </c>
      <c r="N3" s="1" t="s">
        <v>311</v>
      </c>
      <c r="O3" s="1" t="s">
        <v>312</v>
      </c>
      <c r="P3" s="1" t="s">
        <v>313</v>
      </c>
      <c r="Q3" s="1" t="s">
        <v>314</v>
      </c>
      <c r="R3" s="1" t="s">
        <v>315</v>
      </c>
      <c r="S3" s="1" t="s">
        <v>316</v>
      </c>
      <c r="T3" s="1" t="s">
        <v>317</v>
      </c>
      <c r="U3" s="1" t="s">
        <v>201</v>
      </c>
      <c r="V3" s="1" t="s">
        <v>318</v>
      </c>
      <c r="W3" s="1" t="s">
        <v>319</v>
      </c>
      <c r="X3" s="1" t="s">
        <v>320</v>
      </c>
      <c r="Y3" s="1" t="s">
        <v>321</v>
      </c>
      <c r="Z3" s="1" t="s">
        <v>324</v>
      </c>
      <c r="AA3" s="1" t="s">
        <v>323</v>
      </c>
      <c r="AB3" s="1" t="s">
        <v>322</v>
      </c>
      <c r="AC3" s="1" t="s">
        <v>325</v>
      </c>
      <c r="AD3" s="1" t="s">
        <v>326</v>
      </c>
      <c r="AE3" s="1" t="s">
        <v>327</v>
      </c>
      <c r="AF3" s="1" t="s">
        <v>328</v>
      </c>
      <c r="AG3" s="1" t="s">
        <v>329</v>
      </c>
      <c r="AH3" s="1" t="s">
        <v>330</v>
      </c>
      <c r="AI3" s="1" t="s">
        <v>331</v>
      </c>
      <c r="AJ3" s="1" t="s">
        <v>96</v>
      </c>
      <c r="AK3" s="1" t="s">
        <v>97</v>
      </c>
      <c r="AL3" s="1" t="s">
        <v>98</v>
      </c>
      <c r="AM3" s="1" t="s">
        <v>99</v>
      </c>
      <c r="AN3" s="1" t="s">
        <v>100</v>
      </c>
      <c r="AO3" s="1" t="s">
        <v>101</v>
      </c>
      <c r="AP3" s="1" t="s">
        <v>102</v>
      </c>
      <c r="AQ3" s="1" t="s">
        <v>103</v>
      </c>
      <c r="AR3" s="1" t="s">
        <v>104</v>
      </c>
      <c r="AS3" s="1" t="s">
        <v>105</v>
      </c>
      <c r="AT3" s="1" t="s">
        <v>106</v>
      </c>
      <c r="AU3" s="1" t="s">
        <v>107</v>
      </c>
      <c r="AV3" s="1" t="s">
        <v>108</v>
      </c>
      <c r="AW3" s="1" t="s">
        <v>109</v>
      </c>
      <c r="AX3" s="1" t="s">
        <v>110</v>
      </c>
      <c r="AY3" s="1" t="s">
        <v>111</v>
      </c>
      <c r="AZ3" s="1" t="s">
        <v>112</v>
      </c>
      <c r="BA3" s="1" t="s">
        <v>113</v>
      </c>
      <c r="BB3" s="1" t="s">
        <v>114</v>
      </c>
      <c r="BC3" s="1" t="s">
        <v>115</v>
      </c>
      <c r="BD3" s="1" t="s">
        <v>116</v>
      </c>
      <c r="BE3" s="1" t="s">
        <v>117</v>
      </c>
      <c r="BF3" s="1" t="s">
        <v>118</v>
      </c>
      <c r="BG3" s="1" t="s">
        <v>119</v>
      </c>
      <c r="BH3" s="1" t="s">
        <v>120</v>
      </c>
      <c r="BI3" s="1" t="s">
        <v>121</v>
      </c>
      <c r="BJ3" s="1" t="s">
        <v>122</v>
      </c>
      <c r="BK3" s="1" t="s">
        <v>123</v>
      </c>
      <c r="BL3" s="1" t="s">
        <v>124</v>
      </c>
      <c r="BM3" s="1" t="s">
        <v>125</v>
      </c>
      <c r="BN3" s="1" t="s">
        <v>126</v>
      </c>
      <c r="BO3" s="1" t="s">
        <v>127</v>
      </c>
      <c r="BP3" s="1" t="s">
        <v>128</v>
      </c>
      <c r="BQ3" s="1" t="s">
        <v>129</v>
      </c>
      <c r="BR3" s="1" t="s">
        <v>130</v>
      </c>
      <c r="BS3" s="1" t="s">
        <v>131</v>
      </c>
    </row>
    <row r="5" spans="1:71">
      <c r="B5" t="s">
        <v>0</v>
      </c>
      <c r="C5" t="s">
        <v>1</v>
      </c>
      <c r="D5" t="s">
        <v>2</v>
      </c>
      <c r="E5" t="s">
        <v>3</v>
      </c>
      <c r="F5" t="s">
        <v>4</v>
      </c>
      <c r="G5" s="1" t="s">
        <v>5</v>
      </c>
      <c r="H5" s="1" t="s">
        <v>6</v>
      </c>
      <c r="I5" t="s">
        <v>7</v>
      </c>
      <c r="J5" s="1" t="s">
        <v>8</v>
      </c>
      <c r="K5" t="s">
        <v>9</v>
      </c>
      <c r="L5" t="s">
        <v>10</v>
      </c>
      <c r="M5" t="s">
        <v>11</v>
      </c>
      <c r="N5" t="s">
        <v>12</v>
      </c>
      <c r="O5" t="s">
        <v>13</v>
      </c>
      <c r="P5" t="s">
        <v>14</v>
      </c>
      <c r="Q5" t="s">
        <v>15</v>
      </c>
      <c r="R5" t="s">
        <v>16</v>
      </c>
      <c r="S5" t="s">
        <v>17</v>
      </c>
      <c r="T5" t="s">
        <v>18</v>
      </c>
      <c r="U5" t="s">
        <v>19</v>
      </c>
      <c r="V5" t="s">
        <v>20</v>
      </c>
      <c r="W5" t="s">
        <v>21</v>
      </c>
      <c r="X5" t="s">
        <v>22</v>
      </c>
      <c r="Y5" t="s">
        <v>23</v>
      </c>
      <c r="Z5" t="s">
        <v>24</v>
      </c>
      <c r="AA5" t="s">
        <v>25</v>
      </c>
      <c r="AB5" t="s">
        <v>26</v>
      </c>
      <c r="AC5" t="s">
        <v>27</v>
      </c>
      <c r="AD5" t="s">
        <v>28</v>
      </c>
      <c r="AE5" t="s">
        <v>29</v>
      </c>
      <c r="AF5" t="s">
        <v>30</v>
      </c>
      <c r="AG5" t="s">
        <v>31</v>
      </c>
      <c r="AH5" t="s">
        <v>32</v>
      </c>
      <c r="AI5" t="s">
        <v>33</v>
      </c>
      <c r="AJ5" t="s">
        <v>34</v>
      </c>
      <c r="AK5" t="s">
        <v>44</v>
      </c>
      <c r="AL5" t="s">
        <v>45</v>
      </c>
      <c r="AM5" t="s">
        <v>46</v>
      </c>
      <c r="AN5" t="s">
        <v>47</v>
      </c>
      <c r="AO5" t="s">
        <v>48</v>
      </c>
      <c r="AP5" t="s">
        <v>49</v>
      </c>
      <c r="AQ5" t="s">
        <v>50</v>
      </c>
      <c r="AR5" t="s">
        <v>51</v>
      </c>
      <c r="AS5" t="s">
        <v>52</v>
      </c>
      <c r="AT5" t="s">
        <v>53</v>
      </c>
      <c r="AU5" t="s">
        <v>54</v>
      </c>
      <c r="AV5" t="s">
        <v>55</v>
      </c>
      <c r="AW5" t="s">
        <v>56</v>
      </c>
      <c r="AX5" t="s">
        <v>57</v>
      </c>
      <c r="AY5" t="s">
        <v>58</v>
      </c>
      <c r="AZ5" t="s">
        <v>59</v>
      </c>
      <c r="BA5" t="s">
        <v>60</v>
      </c>
      <c r="BB5" t="s">
        <v>61</v>
      </c>
      <c r="BC5" t="s">
        <v>62</v>
      </c>
      <c r="BD5" t="s">
        <v>63</v>
      </c>
      <c r="BE5" t="s">
        <v>64</v>
      </c>
      <c r="BF5" t="s">
        <v>65</v>
      </c>
      <c r="BG5" t="s">
        <v>66</v>
      </c>
      <c r="BH5" t="s">
        <v>67</v>
      </c>
      <c r="BI5" t="s">
        <v>68</v>
      </c>
      <c r="BJ5" t="s">
        <v>69</v>
      </c>
      <c r="BK5" t="s">
        <v>70</v>
      </c>
      <c r="BL5" t="s">
        <v>71</v>
      </c>
      <c r="BM5" t="s">
        <v>72</v>
      </c>
      <c r="BN5" t="s">
        <v>73</v>
      </c>
      <c r="BO5" t="s">
        <v>74</v>
      </c>
      <c r="BP5" t="s">
        <v>75</v>
      </c>
      <c r="BQ5" t="s">
        <v>76</v>
      </c>
      <c r="BR5" t="s">
        <v>77</v>
      </c>
      <c r="BS5" t="s">
        <v>78</v>
      </c>
    </row>
    <row r="6" spans="1:71" s="1" customFormat="1" ht="45">
      <c r="A6" s="1" t="s">
        <v>87</v>
      </c>
      <c r="B6" s="1" t="s">
        <v>40</v>
      </c>
      <c r="C6" s="1" t="s">
        <v>134</v>
      </c>
      <c r="D6" s="1" t="s">
        <v>141</v>
      </c>
      <c r="E6" s="1" t="s">
        <v>149</v>
      </c>
      <c r="F6" t="s">
        <v>153</v>
      </c>
      <c r="G6" s="1" t="s">
        <v>158</v>
      </c>
      <c r="H6" s="1" t="s">
        <v>165</v>
      </c>
      <c r="I6" t="s">
        <v>362</v>
      </c>
      <c r="J6" s="1" t="s">
        <v>173</v>
      </c>
      <c r="K6" t="s">
        <v>179</v>
      </c>
      <c r="L6" t="s">
        <v>184</v>
      </c>
      <c r="M6" t="s">
        <v>187</v>
      </c>
      <c r="N6" t="s">
        <v>184</v>
      </c>
      <c r="O6" t="s">
        <v>184</v>
      </c>
      <c r="P6" t="s">
        <v>184</v>
      </c>
      <c r="Q6" t="s">
        <v>184</v>
      </c>
      <c r="R6" s="1" t="s">
        <v>184</v>
      </c>
      <c r="S6" s="1" t="s">
        <v>184</v>
      </c>
      <c r="T6" s="1" t="s">
        <v>184</v>
      </c>
      <c r="U6" s="1" t="s">
        <v>184</v>
      </c>
      <c r="V6" s="1" t="s">
        <v>184</v>
      </c>
      <c r="W6" s="1" t="s">
        <v>184</v>
      </c>
      <c r="X6" s="1" t="s">
        <v>184</v>
      </c>
      <c r="Y6" s="1" t="s">
        <v>184</v>
      </c>
      <c r="Z6" s="1" t="s">
        <v>184</v>
      </c>
      <c r="AA6" s="1" t="s">
        <v>184</v>
      </c>
      <c r="AB6" s="1" t="s">
        <v>184</v>
      </c>
      <c r="AC6" s="1" t="s">
        <v>184</v>
      </c>
      <c r="AD6" s="1" t="s">
        <v>184</v>
      </c>
      <c r="AE6" s="1" t="s">
        <v>184</v>
      </c>
      <c r="AF6" s="1" t="s">
        <v>184</v>
      </c>
      <c r="AG6" s="1" t="s">
        <v>213</v>
      </c>
      <c r="AH6" s="1" t="s">
        <v>184</v>
      </c>
      <c r="AI6" s="1" t="s">
        <v>184</v>
      </c>
    </row>
    <row r="7" spans="1:71" s="1" customFormat="1" ht="60">
      <c r="A7" s="1" t="s">
        <v>88</v>
      </c>
      <c r="B7" s="1" t="s">
        <v>41</v>
      </c>
      <c r="C7" s="1" t="s">
        <v>135</v>
      </c>
      <c r="D7" s="1" t="s">
        <v>142</v>
      </c>
      <c r="E7" s="1" t="s">
        <v>150</v>
      </c>
      <c r="F7" t="s">
        <v>154</v>
      </c>
      <c r="G7" s="1" t="s">
        <v>159</v>
      </c>
      <c r="H7" s="1" t="s">
        <v>166</v>
      </c>
      <c r="I7" t="s">
        <v>363</v>
      </c>
      <c r="J7" s="1" t="s">
        <v>174</v>
      </c>
      <c r="K7" t="s">
        <v>180</v>
      </c>
      <c r="L7" t="s">
        <v>185</v>
      </c>
      <c r="M7" t="s">
        <v>188</v>
      </c>
      <c r="N7" t="s">
        <v>185</v>
      </c>
      <c r="O7" t="s">
        <v>185</v>
      </c>
      <c r="P7" t="s">
        <v>185</v>
      </c>
      <c r="Q7" t="s">
        <v>185</v>
      </c>
      <c r="R7" s="1" t="s">
        <v>185</v>
      </c>
      <c r="S7" s="1" t="s">
        <v>185</v>
      </c>
      <c r="T7" s="1" t="s">
        <v>185</v>
      </c>
      <c r="U7" s="1" t="s">
        <v>185</v>
      </c>
      <c r="V7" s="1" t="s">
        <v>185</v>
      </c>
      <c r="W7" s="1" t="s">
        <v>185</v>
      </c>
      <c r="X7" s="1" t="s">
        <v>185</v>
      </c>
      <c r="Y7" s="1" t="s">
        <v>185</v>
      </c>
      <c r="Z7" s="1" t="s">
        <v>185</v>
      </c>
      <c r="AA7" s="1" t="s">
        <v>185</v>
      </c>
      <c r="AB7" s="1" t="s">
        <v>185</v>
      </c>
      <c r="AC7" s="1" t="s">
        <v>185</v>
      </c>
      <c r="AD7" s="1" t="s">
        <v>185</v>
      </c>
      <c r="AE7" s="1" t="s">
        <v>185</v>
      </c>
      <c r="AF7" s="1" t="s">
        <v>185</v>
      </c>
      <c r="AG7" s="1" t="s">
        <v>214</v>
      </c>
      <c r="AH7" s="1" t="s">
        <v>185</v>
      </c>
      <c r="AI7" s="1" t="s">
        <v>185</v>
      </c>
    </row>
    <row r="8" spans="1:71" s="1" customFormat="1" ht="60">
      <c r="A8" s="1" t="s">
        <v>89</v>
      </c>
      <c r="B8" s="1" t="s">
        <v>43</v>
      </c>
      <c r="C8" s="1" t="s">
        <v>136</v>
      </c>
      <c r="D8" s="1" t="s">
        <v>143</v>
      </c>
      <c r="E8" s="1" t="s">
        <v>151</v>
      </c>
      <c r="F8" t="s">
        <v>155</v>
      </c>
      <c r="G8" s="1" t="s">
        <v>160</v>
      </c>
      <c r="H8" s="1" t="s">
        <v>167</v>
      </c>
      <c r="I8" t="s">
        <v>361</v>
      </c>
      <c r="J8" s="1" t="s">
        <v>175</v>
      </c>
      <c r="K8" t="s">
        <v>181</v>
      </c>
      <c r="L8" t="s">
        <v>288</v>
      </c>
      <c r="M8" t="s">
        <v>189</v>
      </c>
      <c r="N8" t="s">
        <v>192</v>
      </c>
      <c r="O8" t="s">
        <v>221</v>
      </c>
      <c r="P8" t="s">
        <v>80</v>
      </c>
      <c r="Q8" t="s">
        <v>80</v>
      </c>
      <c r="R8" s="1" t="s">
        <v>197</v>
      </c>
      <c r="S8" s="1" t="s">
        <v>199</v>
      </c>
      <c r="T8" s="1" t="s">
        <v>80</v>
      </c>
      <c r="U8" s="1" t="s">
        <v>80</v>
      </c>
      <c r="V8" s="1" t="s">
        <v>199</v>
      </c>
      <c r="W8" s="1" t="s">
        <v>199</v>
      </c>
      <c r="X8" s="1" t="s">
        <v>199</v>
      </c>
      <c r="Y8" s="1" t="s">
        <v>199</v>
      </c>
      <c r="Z8" s="1" t="s">
        <v>199</v>
      </c>
      <c r="AA8" s="1" t="s">
        <v>199</v>
      </c>
      <c r="AB8" s="1" t="s">
        <v>199</v>
      </c>
      <c r="AC8" s="1" t="s">
        <v>199</v>
      </c>
      <c r="AD8" s="1" t="s">
        <v>199</v>
      </c>
      <c r="AE8" s="1" t="s">
        <v>199</v>
      </c>
      <c r="AF8" s="1" t="s">
        <v>80</v>
      </c>
      <c r="AG8" s="1" t="s">
        <v>215</v>
      </c>
      <c r="AH8" s="1" t="s">
        <v>80</v>
      </c>
      <c r="AI8" s="1" t="s">
        <v>80</v>
      </c>
    </row>
    <row r="9" spans="1:71" s="1" customFormat="1" ht="75">
      <c r="A9" s="1" t="s">
        <v>90</v>
      </c>
      <c r="B9" s="1" t="s">
        <v>80</v>
      </c>
      <c r="C9" s="1" t="s">
        <v>137</v>
      </c>
      <c r="D9" s="1" t="s">
        <v>144</v>
      </c>
      <c r="E9" s="1" t="s">
        <v>80</v>
      </c>
      <c r="F9" t="s">
        <v>156</v>
      </c>
      <c r="G9" s="1" t="s">
        <v>161</v>
      </c>
      <c r="H9" s="1" t="s">
        <v>168</v>
      </c>
      <c r="I9" t="s">
        <v>360</v>
      </c>
      <c r="J9" s="1" t="s">
        <v>176</v>
      </c>
      <c r="K9" t="s">
        <v>182</v>
      </c>
      <c r="L9" t="s">
        <v>80</v>
      </c>
      <c r="M9" t="s">
        <v>190</v>
      </c>
      <c r="N9" t="s">
        <v>80</v>
      </c>
      <c r="O9" t="s">
        <v>80</v>
      </c>
      <c r="P9" t="s">
        <v>80</v>
      </c>
      <c r="Q9" t="s">
        <v>80</v>
      </c>
      <c r="R9" t="s">
        <v>80</v>
      </c>
      <c r="S9" t="s">
        <v>80</v>
      </c>
      <c r="T9" t="s">
        <v>80</v>
      </c>
      <c r="U9" t="s">
        <v>80</v>
      </c>
      <c r="V9" t="s">
        <v>80</v>
      </c>
      <c r="W9" t="s">
        <v>80</v>
      </c>
      <c r="X9" t="s">
        <v>80</v>
      </c>
      <c r="Y9" t="s">
        <v>80</v>
      </c>
      <c r="Z9" t="s">
        <v>80</v>
      </c>
      <c r="AA9" t="s">
        <v>80</v>
      </c>
      <c r="AB9" t="s">
        <v>80</v>
      </c>
      <c r="AC9" t="s">
        <v>80</v>
      </c>
      <c r="AD9" t="s">
        <v>80</v>
      </c>
      <c r="AE9" t="s">
        <v>80</v>
      </c>
      <c r="AF9" t="s">
        <v>80</v>
      </c>
      <c r="AG9" t="s">
        <v>216</v>
      </c>
      <c r="AH9" t="s">
        <v>80</v>
      </c>
      <c r="AI9" t="s">
        <v>80</v>
      </c>
      <c r="AJ9" t="s">
        <v>80</v>
      </c>
      <c r="AK9" t="s">
        <v>80</v>
      </c>
      <c r="AL9" t="s">
        <v>80</v>
      </c>
      <c r="AM9" t="s">
        <v>80</v>
      </c>
    </row>
    <row r="10" spans="1:71" s="1" customFormat="1" ht="60">
      <c r="A10" s="1" t="s">
        <v>91</v>
      </c>
      <c r="B10" s="1" t="s">
        <v>80</v>
      </c>
      <c r="C10" s="1" t="s">
        <v>138</v>
      </c>
      <c r="D10" s="1" t="s">
        <v>145</v>
      </c>
      <c r="E10" s="1" t="s">
        <v>80</v>
      </c>
      <c r="F10" t="s">
        <v>43</v>
      </c>
      <c r="G10" s="1" t="s">
        <v>162</v>
      </c>
      <c r="H10" s="1" t="s">
        <v>169</v>
      </c>
      <c r="I10" t="s">
        <v>80</v>
      </c>
      <c r="J10" s="1" t="s">
        <v>177</v>
      </c>
      <c r="K10" t="s">
        <v>288</v>
      </c>
      <c r="L10" t="s">
        <v>80</v>
      </c>
      <c r="M10" t="s">
        <v>80</v>
      </c>
      <c r="N10" t="s">
        <v>80</v>
      </c>
      <c r="O10" t="s">
        <v>80</v>
      </c>
      <c r="P10" t="s">
        <v>80</v>
      </c>
      <c r="Q10" t="s">
        <v>80</v>
      </c>
      <c r="R10" t="s">
        <v>80</v>
      </c>
      <c r="S10" t="s">
        <v>80</v>
      </c>
      <c r="T10" t="s">
        <v>80</v>
      </c>
      <c r="U10" t="s">
        <v>80</v>
      </c>
      <c r="V10" t="s">
        <v>80</v>
      </c>
      <c r="W10" t="s">
        <v>80</v>
      </c>
      <c r="X10" t="s">
        <v>80</v>
      </c>
      <c r="Y10" t="s">
        <v>80</v>
      </c>
      <c r="Z10" t="s">
        <v>80</v>
      </c>
      <c r="AA10" t="s">
        <v>80</v>
      </c>
      <c r="AB10" t="s">
        <v>80</v>
      </c>
      <c r="AC10" t="s">
        <v>80</v>
      </c>
      <c r="AD10" t="s">
        <v>80</v>
      </c>
      <c r="AE10" t="s">
        <v>80</v>
      </c>
      <c r="AF10" t="s">
        <v>80</v>
      </c>
      <c r="AG10" t="s">
        <v>217</v>
      </c>
      <c r="AH10" t="s">
        <v>80</v>
      </c>
      <c r="AI10" t="s">
        <v>80</v>
      </c>
      <c r="AJ10" t="s">
        <v>80</v>
      </c>
      <c r="AK10" t="s">
        <v>80</v>
      </c>
      <c r="AL10" t="s">
        <v>80</v>
      </c>
      <c r="AM10" t="s">
        <v>80</v>
      </c>
    </row>
    <row r="11" spans="1:71" s="1" customFormat="1" ht="30">
      <c r="A11" s="1" t="s">
        <v>92</v>
      </c>
      <c r="B11" s="1" t="s">
        <v>80</v>
      </c>
      <c r="C11" s="1" t="s">
        <v>139</v>
      </c>
      <c r="D11" s="1" t="s">
        <v>146</v>
      </c>
      <c r="E11" s="1" t="s">
        <v>80</v>
      </c>
      <c r="F11" s="1" t="s">
        <v>80</v>
      </c>
      <c r="G11" s="1" t="s">
        <v>163</v>
      </c>
      <c r="H11" s="1" t="s">
        <v>170</v>
      </c>
      <c r="I11" s="1" t="s">
        <v>80</v>
      </c>
      <c r="J11" s="1" t="s">
        <v>80</v>
      </c>
      <c r="K11" s="1" t="s">
        <v>80</v>
      </c>
      <c r="L11" s="1" t="s">
        <v>80</v>
      </c>
      <c r="M11" s="1" t="s">
        <v>80</v>
      </c>
      <c r="N11" s="1" t="s">
        <v>80</v>
      </c>
      <c r="O11" s="1" t="s">
        <v>80</v>
      </c>
      <c r="P11" s="1" t="s">
        <v>80</v>
      </c>
      <c r="Q11" s="1" t="s">
        <v>80</v>
      </c>
      <c r="R11" s="1" t="s">
        <v>80</v>
      </c>
      <c r="S11" s="1" t="s">
        <v>80</v>
      </c>
      <c r="T11" s="1" t="s">
        <v>80</v>
      </c>
      <c r="U11" s="1" t="s">
        <v>80</v>
      </c>
      <c r="V11" s="1" t="s">
        <v>80</v>
      </c>
      <c r="W11" s="1" t="s">
        <v>80</v>
      </c>
      <c r="X11" s="1" t="s">
        <v>80</v>
      </c>
      <c r="Y11" s="1" t="s">
        <v>80</v>
      </c>
      <c r="Z11" s="1" t="s">
        <v>80</v>
      </c>
      <c r="AA11" s="1" t="s">
        <v>80</v>
      </c>
      <c r="AB11" s="1" t="s">
        <v>80</v>
      </c>
      <c r="AC11" s="1" t="s">
        <v>80</v>
      </c>
      <c r="AD11" s="1" t="s">
        <v>80</v>
      </c>
      <c r="AE11" s="1" t="s">
        <v>80</v>
      </c>
      <c r="AF11" s="1" t="s">
        <v>80</v>
      </c>
      <c r="AG11" s="1" t="s">
        <v>80</v>
      </c>
      <c r="AH11" s="1" t="s">
        <v>80</v>
      </c>
      <c r="AI11" s="1" t="s">
        <v>80</v>
      </c>
      <c r="AJ11" s="1" t="s">
        <v>80</v>
      </c>
      <c r="AK11" s="1" t="s">
        <v>80</v>
      </c>
      <c r="AL11" s="1" t="s">
        <v>80</v>
      </c>
      <c r="AM11" s="1" t="s">
        <v>80</v>
      </c>
    </row>
    <row r="12" spans="1:71" s="1" customFormat="1" ht="30">
      <c r="A12" s="1" t="s">
        <v>93</v>
      </c>
      <c r="B12" s="1" t="s">
        <v>80</v>
      </c>
      <c r="C12" s="1" t="s">
        <v>80</v>
      </c>
      <c r="D12" s="1" t="s">
        <v>43</v>
      </c>
      <c r="E12" s="1" t="s">
        <v>80</v>
      </c>
      <c r="F12" s="1" t="s">
        <v>80</v>
      </c>
      <c r="G12" s="1" t="s">
        <v>277</v>
      </c>
      <c r="H12" s="1" t="s">
        <v>283</v>
      </c>
      <c r="I12" s="1" t="s">
        <v>80</v>
      </c>
      <c r="J12" s="1" t="s">
        <v>80</v>
      </c>
      <c r="K12" s="1" t="s">
        <v>80</v>
      </c>
      <c r="L12" s="1" t="s">
        <v>80</v>
      </c>
      <c r="M12" s="1" t="s">
        <v>80</v>
      </c>
      <c r="N12" s="1" t="s">
        <v>80</v>
      </c>
      <c r="O12" s="1" t="s">
        <v>80</v>
      </c>
      <c r="P12" s="1" t="s">
        <v>80</v>
      </c>
      <c r="Q12" s="1" t="s">
        <v>80</v>
      </c>
      <c r="R12" s="1" t="s">
        <v>80</v>
      </c>
      <c r="S12" s="1" t="s">
        <v>80</v>
      </c>
      <c r="T12" s="1" t="s">
        <v>80</v>
      </c>
      <c r="U12" s="1" t="s">
        <v>80</v>
      </c>
      <c r="V12" s="1" t="s">
        <v>80</v>
      </c>
      <c r="W12" s="1" t="s">
        <v>80</v>
      </c>
      <c r="X12" s="1" t="s">
        <v>80</v>
      </c>
      <c r="Y12" s="1" t="s">
        <v>80</v>
      </c>
      <c r="Z12" s="1" t="s">
        <v>80</v>
      </c>
      <c r="AA12" s="1" t="s">
        <v>80</v>
      </c>
      <c r="AB12" s="1" t="s">
        <v>80</v>
      </c>
      <c r="AC12" s="1" t="s">
        <v>80</v>
      </c>
      <c r="AD12" s="1" t="s">
        <v>80</v>
      </c>
      <c r="AE12" s="1" t="s">
        <v>80</v>
      </c>
      <c r="AF12" s="1" t="s">
        <v>80</v>
      </c>
      <c r="AG12" s="1" t="s">
        <v>80</v>
      </c>
      <c r="AH12" s="1" t="s">
        <v>80</v>
      </c>
      <c r="AI12" s="1" t="s">
        <v>80</v>
      </c>
      <c r="AJ12" s="1" t="s">
        <v>80</v>
      </c>
      <c r="AK12" s="1" t="s">
        <v>80</v>
      </c>
      <c r="AL12" s="1" t="s">
        <v>80</v>
      </c>
      <c r="AM12" s="1" t="s">
        <v>80</v>
      </c>
    </row>
    <row r="13" spans="1:71" ht="30">
      <c r="A13" s="1" t="s">
        <v>94</v>
      </c>
      <c r="B13" s="1" t="s">
        <v>80</v>
      </c>
      <c r="C13" t="s">
        <v>80</v>
      </c>
      <c r="D13" s="1" t="s">
        <v>270</v>
      </c>
      <c r="E13" s="1" t="s">
        <v>80</v>
      </c>
      <c r="F13" s="1" t="s">
        <v>80</v>
      </c>
      <c r="G13" s="1" t="s">
        <v>80</v>
      </c>
      <c r="H13" s="1" t="s">
        <v>80</v>
      </c>
      <c r="I13" s="1" t="s">
        <v>80</v>
      </c>
      <c r="J13" s="1" t="s">
        <v>80</v>
      </c>
      <c r="K13" s="1" t="s">
        <v>80</v>
      </c>
      <c r="L13" s="1" t="s">
        <v>80</v>
      </c>
      <c r="M13" s="1" t="s">
        <v>80</v>
      </c>
      <c r="N13" s="1" t="s">
        <v>80</v>
      </c>
      <c r="O13" s="1" t="s">
        <v>80</v>
      </c>
      <c r="P13" s="1" t="s">
        <v>80</v>
      </c>
      <c r="Q13" s="1" t="s">
        <v>80</v>
      </c>
      <c r="R13" s="1" t="s">
        <v>80</v>
      </c>
      <c r="S13" s="1" t="s">
        <v>80</v>
      </c>
      <c r="T13" s="1" t="s">
        <v>80</v>
      </c>
      <c r="U13" s="1" t="s">
        <v>80</v>
      </c>
      <c r="V13" s="1" t="s">
        <v>80</v>
      </c>
      <c r="W13" s="1" t="s">
        <v>80</v>
      </c>
      <c r="X13" s="1" t="s">
        <v>80</v>
      </c>
      <c r="Y13" s="1" t="s">
        <v>80</v>
      </c>
      <c r="Z13" s="1" t="s">
        <v>80</v>
      </c>
      <c r="AA13" s="1" t="s">
        <v>80</v>
      </c>
      <c r="AB13" s="1" t="s">
        <v>80</v>
      </c>
      <c r="AC13" s="1" t="s">
        <v>80</v>
      </c>
      <c r="AD13" s="1" t="s">
        <v>80</v>
      </c>
      <c r="AE13" s="1" t="s">
        <v>80</v>
      </c>
      <c r="AF13" s="1" t="s">
        <v>80</v>
      </c>
      <c r="AG13" s="1" t="s">
        <v>80</v>
      </c>
      <c r="AH13" s="1" t="s">
        <v>80</v>
      </c>
      <c r="AI13" s="1" t="s">
        <v>80</v>
      </c>
      <c r="AJ13" s="1" t="s">
        <v>80</v>
      </c>
      <c r="AK13" s="1" t="s">
        <v>80</v>
      </c>
      <c r="AL13" s="1" t="s">
        <v>80</v>
      </c>
      <c r="AM13" s="1" t="s">
        <v>80</v>
      </c>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row>
    <row r="14" spans="1:71" ht="30">
      <c r="A14" s="1" t="s">
        <v>95</v>
      </c>
      <c r="B14" t="s">
        <v>80</v>
      </c>
      <c r="C14" t="s">
        <v>80</v>
      </c>
      <c r="D14" s="1" t="s">
        <v>147</v>
      </c>
      <c r="E14" s="1" t="s">
        <v>80</v>
      </c>
      <c r="F14" t="s">
        <v>80</v>
      </c>
      <c r="G14" s="1" t="s">
        <v>80</v>
      </c>
      <c r="H14" s="1" t="s">
        <v>80</v>
      </c>
      <c r="I14" t="s">
        <v>80</v>
      </c>
      <c r="J14" s="1" t="s">
        <v>80</v>
      </c>
      <c r="K14" t="s">
        <v>80</v>
      </c>
      <c r="L14" t="s">
        <v>80</v>
      </c>
      <c r="M14" t="s">
        <v>80</v>
      </c>
      <c r="N14" t="s">
        <v>80</v>
      </c>
      <c r="O14" t="s">
        <v>80</v>
      </c>
      <c r="P14" t="s">
        <v>80</v>
      </c>
      <c r="Q14" t="s">
        <v>80</v>
      </c>
      <c r="R14" t="s">
        <v>80</v>
      </c>
      <c r="S14" t="s">
        <v>80</v>
      </c>
      <c r="T14" t="s">
        <v>80</v>
      </c>
      <c r="U14" t="s">
        <v>80</v>
      </c>
      <c r="V14" t="s">
        <v>80</v>
      </c>
      <c r="W14" t="s">
        <v>80</v>
      </c>
      <c r="X14" t="s">
        <v>80</v>
      </c>
      <c r="Y14" t="s">
        <v>80</v>
      </c>
      <c r="Z14" t="s">
        <v>80</v>
      </c>
      <c r="AA14" t="s">
        <v>80</v>
      </c>
      <c r="AB14" t="s">
        <v>80</v>
      </c>
      <c r="AC14" t="s">
        <v>80</v>
      </c>
      <c r="AD14" t="s">
        <v>80</v>
      </c>
      <c r="AE14" t="s">
        <v>80</v>
      </c>
      <c r="AF14" t="s">
        <v>80</v>
      </c>
      <c r="AG14" t="s">
        <v>80</v>
      </c>
      <c r="AH14" t="s">
        <v>80</v>
      </c>
      <c r="AI14" t="s">
        <v>80</v>
      </c>
      <c r="AJ14" t="s">
        <v>80</v>
      </c>
      <c r="AK14" t="s">
        <v>80</v>
      </c>
      <c r="AL14" t="s">
        <v>80</v>
      </c>
      <c r="AM14" t="s">
        <v>80</v>
      </c>
      <c r="BH14" s="1"/>
      <c r="BI14" s="1"/>
      <c r="BJ14" s="1"/>
      <c r="BK14" s="1"/>
      <c r="BL14" s="1"/>
      <c r="BM14" s="1"/>
      <c r="BN14" s="1"/>
      <c r="BO14" s="1"/>
      <c r="BP14" s="1"/>
      <c r="BQ14" s="1"/>
      <c r="BR14" s="1"/>
      <c r="BS14" s="1"/>
    </row>
    <row r="15" spans="1:71">
      <c r="B15" s="1" t="s">
        <v>35</v>
      </c>
      <c r="C15" s="1" t="s">
        <v>35</v>
      </c>
      <c r="D15" s="1" t="s">
        <v>35</v>
      </c>
      <c r="E15" s="1" t="s">
        <v>35</v>
      </c>
      <c r="F15" s="1" t="s">
        <v>35</v>
      </c>
      <c r="G15" s="1" t="s">
        <v>35</v>
      </c>
      <c r="H15" s="1" t="s">
        <v>35</v>
      </c>
      <c r="I15" s="1" t="s">
        <v>35</v>
      </c>
      <c r="J15" s="1" t="s">
        <v>35</v>
      </c>
      <c r="K15" s="1" t="s">
        <v>35</v>
      </c>
      <c r="L15" s="1" t="s">
        <v>35</v>
      </c>
      <c r="M15" s="1" t="s">
        <v>35</v>
      </c>
      <c r="N15" s="1" t="s">
        <v>35</v>
      </c>
      <c r="O15" s="1" t="s">
        <v>35</v>
      </c>
      <c r="P15" s="1" t="s">
        <v>35</v>
      </c>
      <c r="Q15" s="1" t="s">
        <v>35</v>
      </c>
      <c r="R15" s="1" t="s">
        <v>35</v>
      </c>
      <c r="S15" s="1" t="s">
        <v>35</v>
      </c>
      <c r="T15" s="1" t="s">
        <v>35</v>
      </c>
      <c r="U15" s="1" t="s">
        <v>35</v>
      </c>
      <c r="V15" s="1" t="s">
        <v>35</v>
      </c>
      <c r="W15" s="1" t="s">
        <v>35</v>
      </c>
      <c r="X15" s="1" t="s">
        <v>35</v>
      </c>
      <c r="Y15" s="1" t="s">
        <v>35</v>
      </c>
      <c r="Z15" s="1" t="s">
        <v>35</v>
      </c>
      <c r="AA15" s="1" t="s">
        <v>35</v>
      </c>
      <c r="AB15" s="1" t="s">
        <v>35</v>
      </c>
      <c r="AC15" s="1" t="s">
        <v>35</v>
      </c>
      <c r="AD15" s="1" t="s">
        <v>35</v>
      </c>
      <c r="AE15" s="1" t="s">
        <v>35</v>
      </c>
      <c r="AF15" s="1" t="s">
        <v>35</v>
      </c>
      <c r="AG15" s="1" t="s">
        <v>35</v>
      </c>
      <c r="AH15" s="1" t="s">
        <v>35</v>
      </c>
      <c r="AI15" s="1" t="s">
        <v>35</v>
      </c>
      <c r="AJ15" s="1" t="s">
        <v>35</v>
      </c>
      <c r="AK15" s="1" t="s">
        <v>35</v>
      </c>
      <c r="AL15" s="1" t="s">
        <v>35</v>
      </c>
      <c r="AM15" s="1" t="s">
        <v>35</v>
      </c>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1:71">
      <c r="G16" s="2"/>
    </row>
    <row r="17" spans="2:8">
      <c r="G17" s="41" t="s">
        <v>158</v>
      </c>
      <c r="H17" s="39"/>
    </row>
    <row r="18" spans="2:8">
      <c r="G18" s="41" t="s">
        <v>159</v>
      </c>
      <c r="H18" s="39"/>
    </row>
    <row r="19" spans="2:8" ht="30">
      <c r="G19" s="41" t="s">
        <v>160</v>
      </c>
      <c r="H19" s="39"/>
    </row>
    <row r="20" spans="2:8">
      <c r="G20" s="41" t="s">
        <v>161</v>
      </c>
      <c r="H20" s="39"/>
    </row>
    <row r="21" spans="2:8" ht="30">
      <c r="G21" s="41" t="s">
        <v>162</v>
      </c>
      <c r="H21" s="39"/>
    </row>
    <row r="22" spans="2:8">
      <c r="G22" s="41" t="s">
        <v>350</v>
      </c>
      <c r="H22" s="39"/>
    </row>
    <row r="23" spans="2:8">
      <c r="G23" s="41" t="s">
        <v>351</v>
      </c>
      <c r="H23" s="39"/>
    </row>
    <row r="24" spans="2:8" ht="30">
      <c r="G24" s="41" t="s">
        <v>352</v>
      </c>
      <c r="H24" s="39"/>
    </row>
    <row r="25" spans="2:8" ht="30">
      <c r="G25" s="41" t="s">
        <v>353</v>
      </c>
      <c r="H25" s="39"/>
    </row>
    <row r="26" spans="2:8">
      <c r="G26" s="41" t="s">
        <v>354</v>
      </c>
      <c r="H26" s="39"/>
    </row>
    <row r="27" spans="2:8">
      <c r="G27" s="42" t="s">
        <v>355</v>
      </c>
      <c r="H27" s="39"/>
    </row>
    <row r="28" spans="2:8">
      <c r="G28" s="42" t="s">
        <v>356</v>
      </c>
      <c r="H28" s="39"/>
    </row>
    <row r="29" spans="2:8">
      <c r="G29" s="42" t="s">
        <v>357</v>
      </c>
      <c r="H29" s="39"/>
    </row>
    <row r="30" spans="2:8">
      <c r="G30" s="42" t="s">
        <v>359</v>
      </c>
      <c r="H30" s="39"/>
    </row>
    <row r="31" spans="2:8">
      <c r="G31" s="41" t="s">
        <v>358</v>
      </c>
      <c r="H31" s="39"/>
    </row>
    <row r="32" spans="2:8">
      <c r="B32" s="38"/>
      <c r="G32" s="41" t="s">
        <v>163</v>
      </c>
      <c r="H32" s="40"/>
    </row>
    <row r="33" spans="7:8" ht="30">
      <c r="G33" s="41" t="s">
        <v>277</v>
      </c>
      <c r="H33" s="40"/>
    </row>
    <row r="34" spans="7:8">
      <c r="G34" s="41" t="s">
        <v>35</v>
      </c>
      <c r="H34" s="39"/>
    </row>
  </sheetData>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dimension ref="A1:BS230"/>
  <sheetViews>
    <sheetView topLeftCell="AD1" zoomScaleNormal="100" workbookViewId="0">
      <pane ySplit="9" topLeftCell="A10" activePane="bottomLeft" state="frozen"/>
      <selection pane="bottomLeft" activeCell="B7" sqref="B7:AL7"/>
    </sheetView>
  </sheetViews>
  <sheetFormatPr defaultRowHeight="15"/>
  <cols>
    <col min="1" max="1" width="19.140625" customWidth="1"/>
    <col min="2" max="36" width="18.7109375" style="1" customWidth="1"/>
    <col min="37" max="37" width="18.7109375" customWidth="1"/>
    <col min="38" max="38" width="20.7109375" customWidth="1"/>
  </cols>
  <sheetData>
    <row r="1" spans="1:71">
      <c r="A1" s="5" t="s">
        <v>346</v>
      </c>
      <c r="B1" s="6"/>
      <c r="C1" s="6"/>
    </row>
    <row r="2" spans="1:71">
      <c r="A2" s="3" t="s">
        <v>226</v>
      </c>
      <c r="B2" s="7"/>
      <c r="C2" s="11"/>
    </row>
    <row r="3" spans="1:71">
      <c r="A3" s="3" t="s">
        <v>220</v>
      </c>
      <c r="B3" s="7"/>
      <c r="C3" s="11"/>
    </row>
    <row r="4" spans="1:71">
      <c r="A4" s="3" t="s">
        <v>227</v>
      </c>
      <c r="B4" s="7"/>
      <c r="C4" s="11"/>
    </row>
    <row r="5" spans="1:71">
      <c r="A5" s="3" t="s">
        <v>347</v>
      </c>
      <c r="B5" s="7"/>
      <c r="C5" s="11"/>
    </row>
    <row r="6" spans="1:71">
      <c r="A6" s="3" t="s">
        <v>228</v>
      </c>
      <c r="B6" s="12"/>
      <c r="C6" s="11"/>
    </row>
    <row r="7" spans="1:71" ht="15.75" thickBot="1">
      <c r="B7" s="44"/>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5"/>
    </row>
    <row r="8" spans="1:71" ht="15.75" thickTop="1">
      <c r="B8" s="1" t="s">
        <v>230</v>
      </c>
      <c r="C8" s="1" t="s">
        <v>231</v>
      </c>
      <c r="D8" s="1" t="s">
        <v>232</v>
      </c>
      <c r="E8" s="1" t="s">
        <v>233</v>
      </c>
      <c r="F8" s="1" t="s">
        <v>234</v>
      </c>
      <c r="G8" s="1" t="s">
        <v>235</v>
      </c>
      <c r="H8" s="1" t="s">
        <v>236</v>
      </c>
      <c r="I8" s="1" t="s">
        <v>237</v>
      </c>
      <c r="J8" s="1" t="s">
        <v>238</v>
      </c>
      <c r="K8" s="1" t="s">
        <v>239</v>
      </c>
      <c r="L8" s="1" t="s">
        <v>240</v>
      </c>
      <c r="M8" s="1" t="s">
        <v>241</v>
      </c>
      <c r="N8" s="1" t="s">
        <v>242</v>
      </c>
      <c r="O8" s="1" t="s">
        <v>243</v>
      </c>
      <c r="P8" s="1" t="s">
        <v>244</v>
      </c>
      <c r="Q8" s="1" t="s">
        <v>245</v>
      </c>
      <c r="R8" s="1" t="s">
        <v>246</v>
      </c>
      <c r="S8" s="1" t="s">
        <v>247</v>
      </c>
      <c r="T8" s="1" t="s">
        <v>248</v>
      </c>
      <c r="U8" s="1" t="s">
        <v>249</v>
      </c>
      <c r="V8" s="1" t="s">
        <v>250</v>
      </c>
      <c r="W8" s="1" t="s">
        <v>251</v>
      </c>
      <c r="X8" s="1" t="s">
        <v>252</v>
      </c>
      <c r="Y8" s="1" t="s">
        <v>253</v>
      </c>
      <c r="Z8" s="1" t="s">
        <v>254</v>
      </c>
      <c r="AA8" s="1" t="s">
        <v>255</v>
      </c>
      <c r="AB8" s="1" t="s">
        <v>256</v>
      </c>
      <c r="AC8" s="1" t="s">
        <v>257</v>
      </c>
      <c r="AD8" s="1" t="s">
        <v>258</v>
      </c>
      <c r="AE8" s="1" t="s">
        <v>259</v>
      </c>
      <c r="AF8" s="1" t="s">
        <v>260</v>
      </c>
      <c r="AG8" s="1" t="s">
        <v>261</v>
      </c>
      <c r="AH8" s="1" t="s">
        <v>262</v>
      </c>
      <c r="AI8" s="1" t="s">
        <v>263</v>
      </c>
      <c r="AK8" s="1"/>
      <c r="AL8" s="1"/>
    </row>
    <row r="9" spans="1:71" ht="117" customHeight="1">
      <c r="A9" t="s">
        <v>229</v>
      </c>
      <c r="B9" s="1" t="s">
        <v>132</v>
      </c>
      <c r="C9" s="1" t="s">
        <v>133</v>
      </c>
      <c r="D9" s="1" t="s">
        <v>140</v>
      </c>
      <c r="E9" s="1" t="s">
        <v>148</v>
      </c>
      <c r="F9" s="1" t="s">
        <v>152</v>
      </c>
      <c r="G9" s="1" t="s">
        <v>157</v>
      </c>
      <c r="H9" s="1" t="s">
        <v>164</v>
      </c>
      <c r="I9" s="1" t="s">
        <v>171</v>
      </c>
      <c r="J9" s="1" t="s">
        <v>172</v>
      </c>
      <c r="K9" s="1" t="s">
        <v>178</v>
      </c>
      <c r="L9" s="1" t="s">
        <v>183</v>
      </c>
      <c r="M9" s="1" t="s">
        <v>186</v>
      </c>
      <c r="N9" s="1" t="s">
        <v>191</v>
      </c>
      <c r="O9" s="1" t="s">
        <v>193</v>
      </c>
      <c r="P9" s="1" t="s">
        <v>194</v>
      </c>
      <c r="Q9" s="1" t="s">
        <v>195</v>
      </c>
      <c r="R9" s="1" t="s">
        <v>196</v>
      </c>
      <c r="S9" s="1" t="s">
        <v>198</v>
      </c>
      <c r="T9" s="1" t="s">
        <v>200</v>
      </c>
      <c r="U9" s="1" t="s">
        <v>201</v>
      </c>
      <c r="V9" s="1" t="s">
        <v>202</v>
      </c>
      <c r="W9" s="1" t="s">
        <v>203</v>
      </c>
      <c r="X9" s="1" t="s">
        <v>204</v>
      </c>
      <c r="Y9" s="1" t="s">
        <v>205</v>
      </c>
      <c r="Z9" s="1" t="s">
        <v>206</v>
      </c>
      <c r="AA9" s="1" t="s">
        <v>207</v>
      </c>
      <c r="AB9" s="1" t="s">
        <v>208</v>
      </c>
      <c r="AC9" s="1" t="s">
        <v>209</v>
      </c>
      <c r="AD9" s="1" t="s">
        <v>210</v>
      </c>
      <c r="AE9" s="1" t="s">
        <v>289</v>
      </c>
      <c r="AF9" s="1" t="s">
        <v>211</v>
      </c>
      <c r="AG9" s="1" t="s">
        <v>212</v>
      </c>
      <c r="AH9" s="1" t="s">
        <v>218</v>
      </c>
      <c r="AI9" s="1" t="s">
        <v>219</v>
      </c>
      <c r="AJ9" s="1" t="s">
        <v>83</v>
      </c>
      <c r="AK9" s="1" t="s">
        <v>84</v>
      </c>
      <c r="AL9" s="1" t="s">
        <v>85</v>
      </c>
      <c r="AM9" s="43" t="s">
        <v>99</v>
      </c>
      <c r="AN9" s="43" t="s">
        <v>100</v>
      </c>
      <c r="AO9" s="43" t="s">
        <v>101</v>
      </c>
      <c r="AP9" s="43" t="s">
        <v>102</v>
      </c>
      <c r="AQ9" s="43" t="s">
        <v>103</v>
      </c>
      <c r="AR9" s="43" t="s">
        <v>104</v>
      </c>
      <c r="AS9" s="43" t="s">
        <v>105</v>
      </c>
      <c r="AT9" s="43" t="s">
        <v>106</v>
      </c>
      <c r="AU9" s="43" t="s">
        <v>107</v>
      </c>
      <c r="AV9" s="43" t="s">
        <v>108</v>
      </c>
      <c r="AW9" s="43" t="s">
        <v>109</v>
      </c>
      <c r="AX9" s="43" t="s">
        <v>110</v>
      </c>
      <c r="AY9" s="43" t="s">
        <v>111</v>
      </c>
      <c r="AZ9" s="43" t="s">
        <v>112</v>
      </c>
      <c r="BA9" s="43" t="s">
        <v>113</v>
      </c>
      <c r="BB9" s="43" t="s">
        <v>114</v>
      </c>
      <c r="BC9" s="43" t="s">
        <v>115</v>
      </c>
      <c r="BD9" s="43" t="s">
        <v>116</v>
      </c>
      <c r="BE9" s="43" t="s">
        <v>117</v>
      </c>
      <c r="BF9" s="43" t="s">
        <v>118</v>
      </c>
      <c r="BG9" s="43" t="s">
        <v>119</v>
      </c>
      <c r="BH9" s="43" t="s">
        <v>120</v>
      </c>
      <c r="BI9" s="43" t="s">
        <v>121</v>
      </c>
      <c r="BJ9" s="43" t="s">
        <v>122</v>
      </c>
      <c r="BK9" s="43" t="s">
        <v>123</v>
      </c>
      <c r="BL9" s="43" t="s">
        <v>124</v>
      </c>
      <c r="BM9" s="43" t="s">
        <v>125</v>
      </c>
      <c r="BN9" s="43" t="s">
        <v>126</v>
      </c>
      <c r="BO9" s="43" t="s">
        <v>127</v>
      </c>
      <c r="BP9" s="43" t="s">
        <v>128</v>
      </c>
      <c r="BQ9" s="43" t="s">
        <v>129</v>
      </c>
      <c r="BR9" s="43" t="s">
        <v>130</v>
      </c>
      <c r="BS9" s="43" t="s">
        <v>131</v>
      </c>
    </row>
    <row r="10" spans="1:71">
      <c r="A10">
        <v>1</v>
      </c>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row>
    <row r="11" spans="1:71">
      <c r="A11">
        <v>2</v>
      </c>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row>
    <row r="12" spans="1:71" s="1" customFormat="1">
      <c r="A12" s="1">
        <v>3</v>
      </c>
    </row>
    <row r="13" spans="1:71">
      <c r="A13" s="8">
        <v>4</v>
      </c>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row>
    <row r="14" spans="1:71">
      <c r="A14" s="8">
        <v>5</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1:71">
      <c r="A15" s="8">
        <v>6</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1:7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37:7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row>
    <row r="18" spans="37:7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row>
    <row r="19" spans="37:7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row>
    <row r="20" spans="37:7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row>
    <row r="21" spans="37:7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row>
    <row r="22" spans="37:7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row>
    <row r="23" spans="37:7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row>
    <row r="24" spans="37:7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row>
    <row r="25" spans="37:7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row>
    <row r="26" spans="37:7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row>
    <row r="27" spans="37:7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row>
    <row r="28" spans="37:7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row>
    <row r="29" spans="37:7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row>
    <row r="30" spans="37:7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37:7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row>
    <row r="32" spans="37:7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row>
    <row r="33" spans="37:7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row>
    <row r="34" spans="37:7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row>
    <row r="35" spans="37:7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row>
    <row r="36" spans="37:7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row>
    <row r="37" spans="37:7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row>
    <row r="38" spans="37:7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row>
    <row r="39" spans="37:7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row>
    <row r="40" spans="37:7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row>
    <row r="41" spans="37:7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row>
    <row r="42" spans="37:7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row>
    <row r="43" spans="37:7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row>
    <row r="44" spans="37:7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row>
    <row r="45" spans="37:7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row>
    <row r="46" spans="37:7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row>
    <row r="47" spans="37:7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row>
    <row r="48" spans="37:7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row>
    <row r="49" spans="37:7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row>
    <row r="50" spans="37:7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row>
    <row r="51" spans="37:7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row>
    <row r="52" spans="37:7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row>
    <row r="53" spans="37:7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row>
    <row r="54" spans="37:7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row>
    <row r="55" spans="37:7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row>
    <row r="56" spans="37:7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row>
    <row r="57" spans="37:7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row>
    <row r="58" spans="37:7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row>
    <row r="59" spans="37:7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row>
    <row r="60" spans="37:7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row>
    <row r="61" spans="37:7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row>
    <row r="62" spans="37:7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row>
    <row r="63" spans="37:7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row>
    <row r="64" spans="37:7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row>
    <row r="65" spans="37:7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row>
    <row r="66" spans="37:7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row>
    <row r="67" spans="37:7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row>
    <row r="68" spans="37:7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row>
    <row r="69" spans="37:7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row>
    <row r="70" spans="37:7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row>
    <row r="71" spans="37:7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row>
    <row r="72" spans="37:7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row>
    <row r="73" spans="37:7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row>
    <row r="74" spans="37:7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row>
    <row r="75" spans="37:7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row>
    <row r="76" spans="37:7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row>
    <row r="77" spans="37:7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row>
    <row r="78" spans="37:7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row>
    <row r="79" spans="37:7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row>
    <row r="80" spans="37:7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row>
    <row r="81" spans="37:7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row>
    <row r="82" spans="37:7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row>
    <row r="83" spans="37:7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row>
    <row r="84" spans="37:7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row>
    <row r="85" spans="37:7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row>
    <row r="86" spans="37:7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row>
    <row r="87" spans="37:7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row>
    <row r="88" spans="37:7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row>
    <row r="89" spans="37:7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row>
    <row r="90" spans="37:7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row>
    <row r="91" spans="37:7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row>
    <row r="92" spans="37:7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row>
    <row r="93" spans="37:7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row>
    <row r="94" spans="37:7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row>
    <row r="95" spans="37:7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row>
    <row r="96" spans="37:7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row>
    <row r="97" spans="37:7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row>
    <row r="98" spans="37:7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row>
    <row r="99" spans="37:7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row>
    <row r="100" spans="37:7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row>
    <row r="101" spans="37:7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row>
    <row r="102" spans="37:7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row>
    <row r="103" spans="37:7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row>
    <row r="104" spans="37:7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row>
    <row r="105" spans="37:7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row>
    <row r="106" spans="37:7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row>
    <row r="107" spans="37:7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row>
    <row r="108" spans="37:7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row>
    <row r="109" spans="37:7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row>
    <row r="110" spans="37:7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row>
    <row r="111" spans="37:7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row>
    <row r="112" spans="37:7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row>
    <row r="113" spans="37:7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row>
    <row r="114" spans="37:7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row>
    <row r="115" spans="37:7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row>
    <row r="116" spans="37:7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row>
    <row r="117" spans="37:7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row>
    <row r="118" spans="37:7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row>
    <row r="119" spans="37:7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row>
    <row r="120" spans="37:7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row>
    <row r="121" spans="37:7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row>
    <row r="122" spans="37:7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row>
    <row r="123" spans="37:7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row>
    <row r="124" spans="37:7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row>
    <row r="125" spans="37:7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row>
    <row r="126" spans="37:7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row>
    <row r="127" spans="37:7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row>
    <row r="128" spans="37:7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row>
    <row r="129" spans="37:7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row>
    <row r="130" spans="37:7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row>
    <row r="131" spans="37:7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row>
    <row r="132" spans="37:7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row>
    <row r="133" spans="37:7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row>
    <row r="134" spans="37:7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row>
    <row r="135" spans="37:7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row>
    <row r="136" spans="37:7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row>
    <row r="137" spans="37:7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row>
    <row r="138" spans="37:7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row>
    <row r="139" spans="37:7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row>
    <row r="140" spans="37:7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row>
    <row r="141" spans="37:7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row>
    <row r="142" spans="37:7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row>
    <row r="143" spans="37:7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row>
    <row r="144" spans="37:7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row>
    <row r="145" spans="37:7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row>
    <row r="146" spans="37:7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row>
    <row r="147" spans="37:7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row>
    <row r="148" spans="37:7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row>
    <row r="149" spans="37:7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row>
    <row r="150" spans="37:7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row>
    <row r="151" spans="37:7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row>
    <row r="152" spans="37:7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row>
    <row r="153" spans="37:7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row>
    <row r="154" spans="37:7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row>
    <row r="155" spans="37:7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row>
    <row r="156" spans="37:7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row>
    <row r="157" spans="37:7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row>
    <row r="158" spans="37:7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row>
    <row r="159" spans="37:7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row>
    <row r="160" spans="37:7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row>
    <row r="161" spans="37:7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row>
    <row r="162" spans="37:7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row>
    <row r="163" spans="37:7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row>
    <row r="164" spans="37:7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row>
    <row r="165" spans="37:7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row>
    <row r="166" spans="37:7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row>
    <row r="167" spans="37:7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row>
    <row r="168" spans="37:7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row>
    <row r="169" spans="37:7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row>
    <row r="170" spans="37:7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row>
    <row r="171" spans="37:7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row>
    <row r="172" spans="37:7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row>
    <row r="173" spans="37:7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row>
    <row r="174" spans="37:7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row>
    <row r="175" spans="37:7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row>
    <row r="176" spans="37:7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row>
    <row r="177" spans="37:7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row>
    <row r="178" spans="37:7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row>
    <row r="179" spans="37:7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row>
    <row r="180" spans="37:7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row>
    <row r="181" spans="37:7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row>
    <row r="182" spans="37:7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row>
    <row r="183" spans="37:7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row>
    <row r="184" spans="37:7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row>
    <row r="185" spans="37:7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row>
    <row r="186" spans="37:7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row>
    <row r="187" spans="37:7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row>
    <row r="188" spans="37:7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row>
    <row r="189" spans="37:7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row>
    <row r="190" spans="37:7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row>
    <row r="191" spans="37:7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row>
    <row r="192" spans="37:7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row>
    <row r="193" spans="37:7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row>
    <row r="194" spans="37:7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row>
    <row r="195" spans="37:7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row>
    <row r="196" spans="37:7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row>
    <row r="197" spans="37:7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row>
    <row r="198" spans="37:7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row>
    <row r="199" spans="37:7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row>
    <row r="200" spans="37:7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row>
    <row r="201" spans="37:7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row>
    <row r="202" spans="37:7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row>
    <row r="203" spans="37:7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row>
    <row r="204" spans="37:7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row>
    <row r="205" spans="37:7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row>
    <row r="206" spans="37:7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row>
    <row r="207" spans="37:7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row>
    <row r="208" spans="37:7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row>
    <row r="209" spans="37:7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row>
    <row r="210" spans="37:7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row>
    <row r="211" spans="37:7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row>
    <row r="212" spans="37:7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row>
    <row r="213" spans="37:7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row>
    <row r="214" spans="37:7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row>
    <row r="215" spans="37:7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row>
    <row r="216" spans="37:7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row>
    <row r="217" spans="37:7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row>
    <row r="218" spans="37:7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row>
    <row r="219" spans="37:7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row>
    <row r="220" spans="37:7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row>
    <row r="221" spans="37:7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row>
    <row r="222" spans="37:7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row>
    <row r="223" spans="37:7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row>
    <row r="224" spans="37:7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row>
    <row r="225" spans="1:7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row>
    <row r="226" spans="1:7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row>
    <row r="227" spans="1:7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row>
    <row r="228" spans="1:7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row>
    <row r="229" spans="1:7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c r="BS229" s="1"/>
    </row>
    <row r="230" spans="1:71">
      <c r="A230" s="8"/>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row>
  </sheetData>
  <dataValidations count="37">
    <dataValidation type="list" allowBlank="1" showInputMessage="1" showErrorMessage="1" sqref="B10:B230">
      <formula1>Quest1</formula1>
    </dataValidation>
    <dataValidation type="list" allowBlank="1" showInputMessage="1" showErrorMessage="1" sqref="C10:C230">
      <formula1>Quest2</formula1>
    </dataValidation>
    <dataValidation type="list" allowBlank="1" showInputMessage="1" showErrorMessage="1" sqref="D10:D230">
      <formula1>Quest3</formula1>
    </dataValidation>
    <dataValidation type="list" allowBlank="1" showInputMessage="1" showErrorMessage="1" sqref="E10:E230">
      <formula1>Quest4</formula1>
    </dataValidation>
    <dataValidation type="list" allowBlank="1" showInputMessage="1" showErrorMessage="1" sqref="F10:F230">
      <formula1>Quest5</formula1>
    </dataValidation>
    <dataValidation type="list" allowBlank="1" showInputMessage="1" showErrorMessage="1" sqref="G10:G230">
      <formula1>Quest6</formula1>
    </dataValidation>
    <dataValidation type="list" allowBlank="1" showInputMessage="1" showErrorMessage="1" sqref="H10:H230">
      <formula1>Quest7</formula1>
    </dataValidation>
    <dataValidation type="list" allowBlank="1" showInputMessage="1" showErrorMessage="1" sqref="I10:I230">
      <formula1>Quest8</formula1>
    </dataValidation>
    <dataValidation type="list" allowBlank="1" showInputMessage="1" showErrorMessage="1" sqref="J10:J230">
      <formula1>Quest9</formula1>
    </dataValidation>
    <dataValidation type="list" allowBlank="1" showInputMessage="1" showErrorMessage="1" sqref="K10:K230">
      <formula1>Quest10</formula1>
    </dataValidation>
    <dataValidation type="list" allowBlank="1" showInputMessage="1" showErrorMessage="1" sqref="L10:L230">
      <formula1>Quest11</formula1>
    </dataValidation>
    <dataValidation type="list" allowBlank="1" showInputMessage="1" showErrorMessage="1" sqref="M10:M230">
      <formula1>Quest12</formula1>
    </dataValidation>
    <dataValidation type="list" allowBlank="1" showInputMessage="1" showErrorMessage="1" sqref="N10:N230">
      <formula1>Quest13</formula1>
    </dataValidation>
    <dataValidation type="list" allowBlank="1" showInputMessage="1" showErrorMessage="1" sqref="O10:O230">
      <formula1>Quest14</formula1>
    </dataValidation>
    <dataValidation type="list" allowBlank="1" showInputMessage="1" showErrorMessage="1" sqref="P10:P230">
      <formula1>Quest15</formula1>
    </dataValidation>
    <dataValidation type="list" allowBlank="1" showInputMessage="1" showErrorMessage="1" sqref="Q10:Q230">
      <formula1>Quest16</formula1>
    </dataValidation>
    <dataValidation type="list" allowBlank="1" showInputMessage="1" showErrorMessage="1" sqref="R10:R230">
      <formula1>Quest17</formula1>
    </dataValidation>
    <dataValidation type="list" allowBlank="1" showInputMessage="1" showErrorMessage="1" sqref="S10:S230">
      <formula1>Quest18</formula1>
    </dataValidation>
    <dataValidation type="list" allowBlank="1" showInputMessage="1" showErrorMessage="1" sqref="T10:T230">
      <formula1>Quest19</formula1>
    </dataValidation>
    <dataValidation type="list" allowBlank="1" showInputMessage="1" showErrorMessage="1" sqref="U10:U230">
      <formula1>Quest20</formula1>
    </dataValidation>
    <dataValidation type="list" allowBlank="1" showInputMessage="1" showErrorMessage="1" sqref="V10:V230">
      <formula1>Quest21</formula1>
    </dataValidation>
    <dataValidation type="list" allowBlank="1" showInputMessage="1" showErrorMessage="1" sqref="W10:W230">
      <formula1>Quest22</formula1>
    </dataValidation>
    <dataValidation type="list" allowBlank="1" showInputMessage="1" showErrorMessage="1" sqref="X10:X230">
      <formula1>Quest23</formula1>
    </dataValidation>
    <dataValidation type="list" allowBlank="1" showInputMessage="1" showErrorMessage="1" sqref="Y10:Y230">
      <formula1>Quest24</formula1>
    </dataValidation>
    <dataValidation type="list" allowBlank="1" showInputMessage="1" showErrorMessage="1" sqref="Z10:Z230">
      <formula1>Quest25</formula1>
    </dataValidation>
    <dataValidation type="list" allowBlank="1" showInputMessage="1" showErrorMessage="1" sqref="AA10:AA230">
      <formula1>Quest26</formula1>
    </dataValidation>
    <dataValidation type="list" allowBlank="1" showInputMessage="1" showErrorMessage="1" sqref="AB10:AB230">
      <formula1>Quest27</formula1>
    </dataValidation>
    <dataValidation type="list" allowBlank="1" showInputMessage="1" showErrorMessage="1" sqref="AC10:AC230">
      <formula1>Quest28</formula1>
    </dataValidation>
    <dataValidation type="list" allowBlank="1" showInputMessage="1" showErrorMessage="1" sqref="AD10:AD230">
      <formula1>Quest29</formula1>
    </dataValidation>
    <dataValidation type="list" allowBlank="1" showInputMessage="1" showErrorMessage="1" sqref="AE10:AE230">
      <formula1>Quest30</formula1>
    </dataValidation>
    <dataValidation type="list" allowBlank="1" showInputMessage="1" showErrorMessage="1" sqref="AF10:AF230">
      <formula1>Quest31</formula1>
    </dataValidation>
    <dataValidation type="list" allowBlank="1" showInputMessage="1" showErrorMessage="1" sqref="AG10:AG230">
      <formula1>Quest32</formula1>
    </dataValidation>
    <dataValidation type="list" allowBlank="1" showInputMessage="1" showErrorMessage="1" sqref="AH10:AH230">
      <formula1>Quest33</formula1>
    </dataValidation>
    <dataValidation type="list" allowBlank="1" showInputMessage="1" showErrorMessage="1" sqref="AI10:AI230">
      <formula1>Quest34</formula1>
    </dataValidation>
    <dataValidation type="list" allowBlank="1" showInputMessage="1" showErrorMessage="1" sqref="AJ10:AJ230">
      <formula1>Quest35</formula1>
    </dataValidation>
    <dataValidation type="list" allowBlank="1" showInputMessage="1" showErrorMessage="1" sqref="AK10:AK230">
      <formula1>Quest36</formula1>
    </dataValidation>
    <dataValidation type="list" allowBlank="1" showInputMessage="1" showErrorMessage="1" sqref="AL10:AL230">
      <formula1>Quest37</formula1>
    </dataValidation>
  </dataValidations>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dimension ref="A1:B206"/>
  <sheetViews>
    <sheetView topLeftCell="A169" zoomScaleNormal="100" workbookViewId="0">
      <selection activeCell="B161" sqref="B161"/>
    </sheetView>
  </sheetViews>
  <sheetFormatPr defaultRowHeight="15"/>
  <cols>
    <col min="1" max="1" width="19.42578125" style="1" customWidth="1"/>
    <col min="2" max="2" width="61.140625" style="1" customWidth="1"/>
  </cols>
  <sheetData>
    <row r="1" spans="1:2">
      <c r="A1" s="46" t="str">
        <f>'Survey Tool'!A1:C1</f>
        <v>Survey of Patient Experience 2017</v>
      </c>
      <c r="B1" s="46"/>
    </row>
    <row r="2" spans="1:2">
      <c r="A2" s="4" t="str">
        <f>'Survey Tool'!A2</f>
        <v>CHO Area</v>
      </c>
      <c r="B2" s="10">
        <f>'Survey Tool'!B2:C2</f>
        <v>0</v>
      </c>
    </row>
    <row r="3" spans="1:2">
      <c r="A3" s="4" t="str">
        <f>'Survey Tool'!A3</f>
        <v>Primary Care Centre</v>
      </c>
      <c r="B3" s="10">
        <f>'Survey Tool'!B3:C3</f>
        <v>0</v>
      </c>
    </row>
    <row r="4" spans="1:2">
      <c r="A4" s="4" t="str">
        <f>'Survey Tool'!A4</f>
        <v>Data Entry by</v>
      </c>
      <c r="B4" s="10">
        <f>'Survey Tool'!B4:C4</f>
        <v>0</v>
      </c>
    </row>
    <row r="5" spans="1:2">
      <c r="A5" s="4" t="str">
        <f>'Survey Tool'!A5</f>
        <v>Date of Survey</v>
      </c>
      <c r="B5" s="10">
        <f>'Survey Tool'!B5:C5</f>
        <v>0</v>
      </c>
    </row>
    <row r="6" spans="1:2">
      <c r="A6" s="4" t="str">
        <f>'Survey Tool'!A6</f>
        <v>No in Survey</v>
      </c>
      <c r="B6" s="10">
        <f>'Survey Tool'!B6:C6</f>
        <v>0</v>
      </c>
    </row>
    <row r="8" spans="1:2">
      <c r="A8" s="11" t="s">
        <v>36</v>
      </c>
      <c r="B8" s="11" t="s">
        <v>272</v>
      </c>
    </row>
    <row r="9" spans="1:2" s="1" customFormat="1" ht="30" customHeight="1">
      <c r="A9" s="11"/>
      <c r="B9" s="28"/>
    </row>
    <row r="10" spans="1:2" s="1" customFormat="1">
      <c r="A10" s="11"/>
      <c r="B10" s="28"/>
    </row>
    <row r="11" spans="1:2" s="1" customFormat="1">
      <c r="A11" s="11"/>
      <c r="B11" s="28"/>
    </row>
    <row r="12" spans="1:2" s="1" customFormat="1">
      <c r="A12" s="11"/>
      <c r="B12" s="28"/>
    </row>
    <row r="13" spans="1:2" s="1" customFormat="1">
      <c r="A13" s="11"/>
      <c r="B13" s="28"/>
    </row>
    <row r="14" spans="1:2" s="1" customFormat="1">
      <c r="A14" s="11"/>
      <c r="B14" s="28"/>
    </row>
    <row r="15" spans="1:2" s="1" customFormat="1">
      <c r="A15" s="11"/>
      <c r="B15" s="28"/>
    </row>
    <row r="16" spans="1:2" s="1" customFormat="1">
      <c r="A16" s="11"/>
      <c r="B16" s="28"/>
    </row>
    <row r="17" spans="1:2" s="1" customFormat="1">
      <c r="A17" s="11"/>
      <c r="B17" s="28"/>
    </row>
    <row r="18" spans="1:2" s="1" customFormat="1">
      <c r="A18" s="11"/>
      <c r="B18" s="28"/>
    </row>
    <row r="19" spans="1:2" s="1" customFormat="1">
      <c r="A19" s="11"/>
      <c r="B19" s="28"/>
    </row>
    <row r="20" spans="1:2" s="1" customFormat="1">
      <c r="A20" s="11"/>
      <c r="B20" s="28"/>
    </row>
    <row r="21" spans="1:2" s="1" customFormat="1">
      <c r="A21" s="11"/>
      <c r="B21" s="28"/>
    </row>
    <row r="22" spans="1:2" s="1" customFormat="1">
      <c r="A22" s="11"/>
      <c r="B22" s="28"/>
    </row>
    <row r="23" spans="1:2" s="1" customFormat="1">
      <c r="A23" s="11"/>
      <c r="B23" s="28"/>
    </row>
    <row r="24" spans="1:2" s="1" customFormat="1">
      <c r="A24" s="11"/>
      <c r="B24" s="28"/>
    </row>
    <row r="25" spans="1:2" s="1" customFormat="1">
      <c r="A25" s="11"/>
      <c r="B25" s="28"/>
    </row>
    <row r="26" spans="1:2" s="1" customFormat="1">
      <c r="A26" s="11"/>
      <c r="B26" s="28"/>
    </row>
    <row r="27" spans="1:2" s="1" customFormat="1">
      <c r="A27" s="11"/>
      <c r="B27" s="28"/>
    </row>
    <row r="28" spans="1:2" s="1" customFormat="1" ht="15" customHeight="1">
      <c r="A28" s="11"/>
      <c r="B28" s="28"/>
    </row>
    <row r="29" spans="1:2" s="1" customFormat="1">
      <c r="A29" s="11"/>
      <c r="B29" s="28"/>
    </row>
    <row r="31" spans="1:2">
      <c r="A31" s="10" t="s">
        <v>36</v>
      </c>
      <c r="B31" s="11" t="s">
        <v>271</v>
      </c>
    </row>
    <row r="32" spans="1:2" s="1" customFormat="1" ht="30" customHeight="1">
      <c r="A32" s="10"/>
      <c r="B32" s="28"/>
    </row>
    <row r="33" spans="1:2" s="1" customFormat="1">
      <c r="A33" s="10"/>
      <c r="B33" s="28"/>
    </row>
    <row r="34" spans="1:2" s="1" customFormat="1">
      <c r="A34" s="10"/>
      <c r="B34" s="28"/>
    </row>
    <row r="35" spans="1:2" s="1" customFormat="1">
      <c r="A35" s="10"/>
      <c r="B35" s="28"/>
    </row>
    <row r="36" spans="1:2" s="1" customFormat="1">
      <c r="A36" s="10"/>
      <c r="B36" s="28"/>
    </row>
    <row r="37" spans="1:2" s="1" customFormat="1">
      <c r="A37" s="10"/>
      <c r="B37" s="28"/>
    </row>
    <row r="38" spans="1:2" s="1" customFormat="1">
      <c r="A38" s="10"/>
      <c r="B38" s="28"/>
    </row>
    <row r="39" spans="1:2" s="1" customFormat="1">
      <c r="A39" s="10"/>
      <c r="B39" s="28"/>
    </row>
    <row r="40" spans="1:2" s="1" customFormat="1">
      <c r="A40" s="10"/>
      <c r="B40" s="28"/>
    </row>
    <row r="41" spans="1:2" s="1" customFormat="1">
      <c r="A41" s="10"/>
      <c r="B41" s="28"/>
    </row>
    <row r="42" spans="1:2" s="1" customFormat="1">
      <c r="A42" s="10"/>
      <c r="B42" s="28"/>
    </row>
    <row r="43" spans="1:2" s="1" customFormat="1">
      <c r="A43" s="10"/>
      <c r="B43" s="28"/>
    </row>
    <row r="44" spans="1:2" s="1" customFormat="1">
      <c r="A44" s="10"/>
      <c r="B44" s="28"/>
    </row>
    <row r="45" spans="1:2" s="1" customFormat="1">
      <c r="A45" s="10"/>
      <c r="B45" s="28"/>
    </row>
    <row r="46" spans="1:2" s="1" customFormat="1">
      <c r="A46" s="10"/>
      <c r="B46" s="28"/>
    </row>
    <row r="47" spans="1:2" s="1" customFormat="1">
      <c r="A47" s="10"/>
      <c r="B47" s="28"/>
    </row>
    <row r="48" spans="1:2" s="1" customFormat="1">
      <c r="A48" s="10"/>
      <c r="B48" s="28"/>
    </row>
    <row r="49" spans="1:2" s="1" customFormat="1">
      <c r="A49" s="10"/>
      <c r="B49" s="28"/>
    </row>
    <row r="50" spans="1:2" s="1" customFormat="1">
      <c r="A50" s="10"/>
      <c r="B50" s="28"/>
    </row>
    <row r="51" spans="1:2" s="1" customFormat="1" ht="15" customHeight="1">
      <c r="A51" s="10"/>
      <c r="B51" s="28"/>
    </row>
    <row r="52" spans="1:2" s="1" customFormat="1">
      <c r="A52" s="10"/>
      <c r="B52" s="28"/>
    </row>
    <row r="55" spans="1:2">
      <c r="A55" s="10" t="s">
        <v>36</v>
      </c>
      <c r="B55" s="11" t="s">
        <v>280</v>
      </c>
    </row>
    <row r="56" spans="1:2">
      <c r="A56" s="10"/>
      <c r="B56" s="28"/>
    </row>
    <row r="57" spans="1:2">
      <c r="A57" s="10"/>
      <c r="B57" s="28"/>
    </row>
    <row r="58" spans="1:2">
      <c r="A58" s="10"/>
      <c r="B58" s="28"/>
    </row>
    <row r="59" spans="1:2">
      <c r="A59" s="10"/>
      <c r="B59" s="28"/>
    </row>
    <row r="60" spans="1:2">
      <c r="A60" s="10"/>
      <c r="B60" s="28"/>
    </row>
    <row r="61" spans="1:2">
      <c r="A61" s="10"/>
      <c r="B61" s="28"/>
    </row>
    <row r="62" spans="1:2">
      <c r="A62" s="10"/>
      <c r="B62" s="28"/>
    </row>
    <row r="63" spans="1:2">
      <c r="A63" s="10"/>
      <c r="B63" s="28"/>
    </row>
    <row r="64" spans="1:2">
      <c r="A64" s="10"/>
      <c r="B64" s="28"/>
    </row>
    <row r="65" spans="1:2">
      <c r="A65" s="10"/>
      <c r="B65" s="28"/>
    </row>
    <row r="66" spans="1:2">
      <c r="A66" s="10"/>
      <c r="B66" s="28"/>
    </row>
    <row r="67" spans="1:2">
      <c r="A67" s="10"/>
      <c r="B67" s="28"/>
    </row>
    <row r="68" spans="1:2">
      <c r="A68" s="10"/>
      <c r="B68" s="28"/>
    </row>
    <row r="69" spans="1:2">
      <c r="A69" s="10"/>
      <c r="B69" s="28"/>
    </row>
    <row r="70" spans="1:2">
      <c r="A70" s="10"/>
      <c r="B70" s="28"/>
    </row>
    <row r="71" spans="1:2">
      <c r="A71" s="10"/>
      <c r="B71" s="28"/>
    </row>
    <row r="72" spans="1:2">
      <c r="A72" s="10"/>
      <c r="B72" s="28"/>
    </row>
    <row r="73" spans="1:2">
      <c r="A73" s="10"/>
      <c r="B73" s="28"/>
    </row>
    <row r="74" spans="1:2">
      <c r="A74" s="10"/>
      <c r="B74" s="28"/>
    </row>
    <row r="75" spans="1:2">
      <c r="A75" s="10"/>
      <c r="B75" s="28"/>
    </row>
    <row r="76" spans="1:2">
      <c r="A76" s="10"/>
      <c r="B76" s="28"/>
    </row>
    <row r="77" spans="1:2">
      <c r="A77" s="10"/>
      <c r="B77" s="28"/>
    </row>
    <row r="78" spans="1:2">
      <c r="A78" s="10"/>
      <c r="B78" s="28"/>
    </row>
    <row r="79" spans="1:2">
      <c r="A79" s="10"/>
      <c r="B79" s="28"/>
    </row>
    <row r="80" spans="1:2">
      <c r="A80" s="10"/>
      <c r="B80" s="28"/>
    </row>
    <row r="81" spans="1:2">
      <c r="A81" s="10"/>
      <c r="B81" s="28"/>
    </row>
    <row r="84" spans="1:2">
      <c r="A84" s="10" t="s">
        <v>36</v>
      </c>
      <c r="B84" s="11" t="s">
        <v>287</v>
      </c>
    </row>
    <row r="85" spans="1:2">
      <c r="A85" s="10"/>
      <c r="B85" s="28"/>
    </row>
    <row r="86" spans="1:2">
      <c r="A86" s="10"/>
      <c r="B86" s="28"/>
    </row>
    <row r="87" spans="1:2">
      <c r="A87" s="10"/>
      <c r="B87" s="28"/>
    </row>
    <row r="88" spans="1:2">
      <c r="A88" s="10"/>
      <c r="B88" s="28"/>
    </row>
    <row r="89" spans="1:2">
      <c r="A89" s="10"/>
      <c r="B89" s="28"/>
    </row>
    <row r="90" spans="1:2">
      <c r="A90" s="10"/>
      <c r="B90" s="28"/>
    </row>
    <row r="91" spans="1:2">
      <c r="A91" s="10"/>
      <c r="B91" s="28"/>
    </row>
    <row r="92" spans="1:2">
      <c r="A92" s="10"/>
      <c r="B92" s="28"/>
    </row>
    <row r="93" spans="1:2">
      <c r="A93" s="10"/>
      <c r="B93" s="28"/>
    </row>
    <row r="94" spans="1:2">
      <c r="A94" s="10"/>
      <c r="B94" s="28"/>
    </row>
    <row r="95" spans="1:2">
      <c r="A95" s="10"/>
      <c r="B95" s="28"/>
    </row>
    <row r="96" spans="1:2">
      <c r="A96" s="10"/>
      <c r="B96" s="28"/>
    </row>
    <row r="97" spans="1:2">
      <c r="A97" s="10"/>
      <c r="B97" s="28"/>
    </row>
    <row r="98" spans="1:2">
      <c r="A98" s="10"/>
      <c r="B98" s="28"/>
    </row>
    <row r="99" spans="1:2">
      <c r="A99" s="10"/>
      <c r="B99" s="28"/>
    </row>
    <row r="100" spans="1:2">
      <c r="A100" s="10"/>
      <c r="B100" s="28"/>
    </row>
    <row r="101" spans="1:2">
      <c r="A101" s="10"/>
      <c r="B101" s="28"/>
    </row>
    <row r="102" spans="1:2">
      <c r="A102" s="10"/>
      <c r="B102" s="28"/>
    </row>
    <row r="103" spans="1:2">
      <c r="A103" s="10"/>
      <c r="B103" s="28"/>
    </row>
    <row r="104" spans="1:2">
      <c r="A104" s="10"/>
      <c r="B104" s="28"/>
    </row>
    <row r="105" spans="1:2">
      <c r="A105" s="10"/>
      <c r="B105" s="28"/>
    </row>
    <row r="106" spans="1:2">
      <c r="A106" s="10"/>
      <c r="B106" s="28"/>
    </row>
    <row r="107" spans="1:2">
      <c r="A107" s="10"/>
      <c r="B107" s="28"/>
    </row>
    <row r="108" spans="1:2">
      <c r="A108" s="10"/>
      <c r="B108" s="28"/>
    </row>
    <row r="109" spans="1:2">
      <c r="A109" s="10"/>
      <c r="B109" s="28"/>
    </row>
    <row r="110" spans="1:2">
      <c r="A110" s="10"/>
      <c r="B110" s="28"/>
    </row>
    <row r="113" spans="1:2">
      <c r="A113" s="10" t="s">
        <v>36</v>
      </c>
      <c r="B113" s="11" t="s">
        <v>348</v>
      </c>
    </row>
    <row r="114" spans="1:2">
      <c r="A114" s="10"/>
      <c r="B114" s="28"/>
    </row>
    <row r="115" spans="1:2">
      <c r="A115" s="10"/>
      <c r="B115" s="28"/>
    </row>
    <row r="116" spans="1:2">
      <c r="A116" s="10"/>
      <c r="B116" s="28"/>
    </row>
    <row r="117" spans="1:2">
      <c r="A117" s="10"/>
      <c r="B117" s="28"/>
    </row>
    <row r="118" spans="1:2">
      <c r="A118" s="10"/>
      <c r="B118" s="28"/>
    </row>
    <row r="119" spans="1:2">
      <c r="A119" s="10"/>
      <c r="B119" s="28"/>
    </row>
    <row r="120" spans="1:2">
      <c r="A120" s="10"/>
      <c r="B120" s="28"/>
    </row>
    <row r="121" spans="1:2">
      <c r="A121" s="10"/>
      <c r="B121" s="28"/>
    </row>
    <row r="122" spans="1:2">
      <c r="A122" s="10"/>
      <c r="B122" s="28"/>
    </row>
    <row r="123" spans="1:2">
      <c r="A123" s="10"/>
      <c r="B123" s="28"/>
    </row>
    <row r="124" spans="1:2">
      <c r="A124" s="10"/>
      <c r="B124" s="28"/>
    </row>
    <row r="125" spans="1:2">
      <c r="A125" s="10"/>
      <c r="B125" s="28"/>
    </row>
    <row r="126" spans="1:2">
      <c r="A126" s="10"/>
      <c r="B126" s="28"/>
    </row>
    <row r="127" spans="1:2">
      <c r="A127" s="10"/>
      <c r="B127" s="28"/>
    </row>
    <row r="128" spans="1:2">
      <c r="A128" s="10"/>
      <c r="B128" s="28"/>
    </row>
    <row r="129" spans="1:2">
      <c r="A129" s="10"/>
      <c r="B129" s="28"/>
    </row>
    <row r="130" spans="1:2">
      <c r="A130" s="10"/>
      <c r="B130" s="28"/>
    </row>
    <row r="131" spans="1:2">
      <c r="A131" s="10"/>
      <c r="B131" s="28"/>
    </row>
    <row r="132" spans="1:2">
      <c r="A132" s="10"/>
      <c r="B132" s="28"/>
    </row>
    <row r="133" spans="1:2">
      <c r="A133" s="10"/>
      <c r="B133" s="28"/>
    </row>
    <row r="134" spans="1:2">
      <c r="A134" s="10"/>
      <c r="B134" s="28"/>
    </row>
    <row r="137" spans="1:2">
      <c r="A137" s="10" t="s">
        <v>36</v>
      </c>
      <c r="B137" s="11" t="s">
        <v>349</v>
      </c>
    </row>
    <row r="138" spans="1:2">
      <c r="A138" s="10"/>
      <c r="B138" s="28"/>
    </row>
    <row r="139" spans="1:2">
      <c r="A139" s="10"/>
      <c r="B139" s="28"/>
    </row>
    <row r="140" spans="1:2">
      <c r="A140" s="10"/>
      <c r="B140" s="28"/>
    </row>
    <row r="141" spans="1:2">
      <c r="A141" s="10"/>
      <c r="B141" s="28"/>
    </row>
    <row r="142" spans="1:2">
      <c r="A142" s="10"/>
      <c r="B142" s="28"/>
    </row>
    <row r="143" spans="1:2">
      <c r="A143" s="10"/>
      <c r="B143" s="28"/>
    </row>
    <row r="144" spans="1:2">
      <c r="A144" s="10"/>
      <c r="B144" s="28"/>
    </row>
    <row r="145" spans="1:2">
      <c r="A145" s="10"/>
      <c r="B145" s="28"/>
    </row>
    <row r="146" spans="1:2">
      <c r="A146" s="10"/>
      <c r="B146" s="28"/>
    </row>
    <row r="147" spans="1:2">
      <c r="A147" s="10"/>
      <c r="B147" s="28"/>
    </row>
    <row r="148" spans="1:2">
      <c r="A148" s="10"/>
      <c r="B148" s="28"/>
    </row>
    <row r="149" spans="1:2">
      <c r="A149" s="10"/>
      <c r="B149" s="28"/>
    </row>
    <row r="150" spans="1:2">
      <c r="A150" s="10"/>
      <c r="B150" s="28"/>
    </row>
    <row r="151" spans="1:2">
      <c r="A151" s="10"/>
      <c r="B151" s="28"/>
    </row>
    <row r="152" spans="1:2">
      <c r="A152" s="10"/>
      <c r="B152" s="28"/>
    </row>
    <row r="153" spans="1:2">
      <c r="A153" s="10"/>
      <c r="B153" s="28"/>
    </row>
    <row r="154" spans="1:2">
      <c r="A154" s="10"/>
      <c r="B154" s="28"/>
    </row>
    <row r="155" spans="1:2">
      <c r="A155" s="10"/>
      <c r="B155" s="28"/>
    </row>
    <row r="156" spans="1:2">
      <c r="A156" s="10"/>
      <c r="B156" s="28"/>
    </row>
    <row r="157" spans="1:2">
      <c r="A157" s="10"/>
      <c r="B157" s="28"/>
    </row>
    <row r="158" spans="1:2">
      <c r="A158" s="10"/>
      <c r="B158" s="28"/>
    </row>
    <row r="161" spans="1:2" ht="30">
      <c r="A161" s="10" t="s">
        <v>36</v>
      </c>
      <c r="B161" s="11" t="s">
        <v>290</v>
      </c>
    </row>
    <row r="162" spans="1:2">
      <c r="A162" s="10"/>
      <c r="B162" s="28"/>
    </row>
    <row r="163" spans="1:2">
      <c r="A163" s="10"/>
      <c r="B163" s="28"/>
    </row>
    <row r="164" spans="1:2">
      <c r="A164" s="10"/>
      <c r="B164" s="28"/>
    </row>
    <row r="165" spans="1:2">
      <c r="A165" s="10"/>
      <c r="B165" s="28"/>
    </row>
    <row r="166" spans="1:2">
      <c r="A166" s="10"/>
      <c r="B166" s="28"/>
    </row>
    <row r="167" spans="1:2">
      <c r="A167" s="10"/>
      <c r="B167" s="28"/>
    </row>
    <row r="168" spans="1:2">
      <c r="A168" s="10"/>
      <c r="B168" s="28"/>
    </row>
    <row r="169" spans="1:2">
      <c r="A169" s="10"/>
      <c r="B169" s="28"/>
    </row>
    <row r="170" spans="1:2">
      <c r="A170" s="10"/>
      <c r="B170" s="28"/>
    </row>
    <row r="171" spans="1:2">
      <c r="A171" s="10"/>
      <c r="B171" s="28"/>
    </row>
    <row r="172" spans="1:2">
      <c r="A172" s="10"/>
      <c r="B172" s="28"/>
    </row>
    <row r="173" spans="1:2">
      <c r="A173" s="10"/>
      <c r="B173" s="28"/>
    </row>
    <row r="174" spans="1:2">
      <c r="A174" s="10"/>
      <c r="B174" s="28"/>
    </row>
    <row r="175" spans="1:2">
      <c r="A175" s="10"/>
      <c r="B175" s="28"/>
    </row>
    <row r="176" spans="1:2">
      <c r="A176" s="10"/>
      <c r="B176" s="28"/>
    </row>
    <row r="177" spans="1:2">
      <c r="A177" s="10"/>
      <c r="B177" s="28"/>
    </row>
    <row r="178" spans="1:2">
      <c r="A178" s="10"/>
      <c r="B178" s="28"/>
    </row>
    <row r="179" spans="1:2">
      <c r="A179" s="10"/>
      <c r="B179" s="28"/>
    </row>
    <row r="180" spans="1:2">
      <c r="A180" s="10"/>
      <c r="B180" s="28"/>
    </row>
    <row r="181" spans="1:2">
      <c r="A181" s="10"/>
      <c r="B181" s="28"/>
    </row>
    <row r="182" spans="1:2">
      <c r="A182" s="10"/>
      <c r="B182" s="28"/>
    </row>
    <row r="185" spans="1:2" ht="60">
      <c r="A185" s="11" t="s">
        <v>36</v>
      </c>
      <c r="B185" s="11" t="s">
        <v>296</v>
      </c>
    </row>
    <row r="186" spans="1:2">
      <c r="A186" s="11"/>
      <c r="B186" s="28"/>
    </row>
    <row r="187" spans="1:2">
      <c r="A187" s="11"/>
      <c r="B187" s="28"/>
    </row>
    <row r="188" spans="1:2">
      <c r="A188" s="11"/>
      <c r="B188" s="28"/>
    </row>
    <row r="189" spans="1:2">
      <c r="A189" s="11"/>
      <c r="B189" s="28"/>
    </row>
    <row r="190" spans="1:2">
      <c r="A190" s="11"/>
      <c r="B190" s="28"/>
    </row>
    <row r="191" spans="1:2">
      <c r="A191" s="11"/>
      <c r="B191" s="28"/>
    </row>
    <row r="192" spans="1:2">
      <c r="A192" s="11"/>
      <c r="B192" s="28"/>
    </row>
    <row r="193" spans="1:2">
      <c r="A193" s="11"/>
      <c r="B193" s="28"/>
    </row>
    <row r="194" spans="1:2">
      <c r="A194" s="11"/>
      <c r="B194" s="28"/>
    </row>
    <row r="195" spans="1:2">
      <c r="A195" s="11"/>
      <c r="B195" s="28"/>
    </row>
    <row r="196" spans="1:2">
      <c r="A196" s="11"/>
      <c r="B196" s="28"/>
    </row>
    <row r="197" spans="1:2">
      <c r="A197" s="11"/>
      <c r="B197" s="28"/>
    </row>
    <row r="198" spans="1:2">
      <c r="A198" s="11"/>
      <c r="B198" s="28"/>
    </row>
    <row r="199" spans="1:2">
      <c r="A199" s="11"/>
      <c r="B199" s="28"/>
    </row>
    <row r="200" spans="1:2">
      <c r="A200" s="11"/>
      <c r="B200" s="28"/>
    </row>
    <row r="201" spans="1:2">
      <c r="A201" s="11"/>
      <c r="B201" s="28"/>
    </row>
    <row r="202" spans="1:2">
      <c r="A202" s="11"/>
      <c r="B202" s="28"/>
    </row>
    <row r="203" spans="1:2">
      <c r="A203" s="11"/>
      <c r="B203" s="28"/>
    </row>
    <row r="204" spans="1:2">
      <c r="A204" s="11"/>
      <c r="B204" s="28"/>
    </row>
    <row r="205" spans="1:2">
      <c r="A205" s="11"/>
      <c r="B205" s="28"/>
    </row>
    <row r="206" spans="1:2">
      <c r="A206" s="11"/>
      <c r="B206" s="28"/>
    </row>
  </sheetData>
  <mergeCells count="1">
    <mergeCell ref="A1:B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1:H918"/>
  <sheetViews>
    <sheetView zoomScaleNormal="100" workbookViewId="0">
      <selection activeCell="D11" sqref="D11"/>
    </sheetView>
  </sheetViews>
  <sheetFormatPr defaultRowHeight="15"/>
  <cols>
    <col min="1" max="1" width="25.7109375" style="18" customWidth="1"/>
    <col min="2" max="2" width="19.7109375" style="13" customWidth="1"/>
    <col min="3" max="4" width="19.7109375" style="22" customWidth="1"/>
    <col min="5" max="16384" width="9.140625" style="13"/>
  </cols>
  <sheetData>
    <row r="1" spans="1:4">
      <c r="A1" s="56" t="str">
        <f>'Survey Tool'!A1:C1</f>
        <v>Survey of Patient Experience 2017</v>
      </c>
      <c r="B1" s="56"/>
      <c r="C1" s="56"/>
      <c r="D1" s="57"/>
    </row>
    <row r="2" spans="1:4">
      <c r="A2" s="14" t="str">
        <f>'Survey Tool'!A2</f>
        <v>CHO Area</v>
      </c>
      <c r="B2" s="53">
        <f>'Survey Tool'!B2:C2</f>
        <v>0</v>
      </c>
      <c r="C2" s="53"/>
      <c r="D2" s="51"/>
    </row>
    <row r="3" spans="1:4">
      <c r="A3" s="14" t="str">
        <f>'Survey Tool'!A3</f>
        <v>Primary Care Centre</v>
      </c>
      <c r="B3" s="53">
        <f>'Survey Tool'!B3:C3</f>
        <v>0</v>
      </c>
      <c r="C3" s="53"/>
      <c r="D3" s="51"/>
    </row>
    <row r="4" spans="1:4">
      <c r="A4" s="14" t="str">
        <f>'Survey Tool'!A4</f>
        <v>Data Entry by</v>
      </c>
      <c r="B4" s="53">
        <f>'Survey Tool'!B4:C4</f>
        <v>0</v>
      </c>
      <c r="C4" s="53"/>
      <c r="D4" s="51"/>
    </row>
    <row r="5" spans="1:4">
      <c r="A5" s="14" t="str">
        <f>'Survey Tool'!A5</f>
        <v>Date of Survey</v>
      </c>
      <c r="B5" s="53">
        <f>'Survey Tool'!B5:C5</f>
        <v>0</v>
      </c>
      <c r="C5" s="53"/>
      <c r="D5" s="51"/>
    </row>
    <row r="6" spans="1:4">
      <c r="A6" s="14" t="str">
        <f>'Survey Tool'!A6</f>
        <v>No in Survey</v>
      </c>
      <c r="B6" s="53">
        <f>'Survey Tool'!B6:C6</f>
        <v>0</v>
      </c>
      <c r="C6" s="53"/>
      <c r="D6" s="51"/>
    </row>
    <row r="9" spans="1:4">
      <c r="A9" s="53" t="str">
        <f>'Validation List'!B3</f>
        <v>Gender</v>
      </c>
      <c r="B9" s="53"/>
      <c r="C9" s="53"/>
      <c r="D9" s="51"/>
    </row>
    <row r="10" spans="1:4">
      <c r="A10" s="15"/>
      <c r="B10" s="16" t="s">
        <v>37</v>
      </c>
      <c r="C10" s="17" t="s">
        <v>38</v>
      </c>
      <c r="D10" s="17" t="s">
        <v>42</v>
      </c>
    </row>
    <row r="11" spans="1:4">
      <c r="A11" s="15" t="str">
        <f>'Validation List'!B6</f>
        <v>Male</v>
      </c>
      <c r="B11" s="16">
        <f>COUNTIF(Table2[Your gender. Are you?],A11)</f>
        <v>0</v>
      </c>
      <c r="C11" s="17" t="e">
        <f t="shared" ref="C11:C14" si="0">B11/No_in_Audit*100</f>
        <v>#DIV/0!</v>
      </c>
      <c r="D11" s="17" t="e">
        <f>B11/(No_in_Audit-COUNTIF(Table2[Your gender. Are you?],"Not answered"))*100</f>
        <v>#DIV/0!</v>
      </c>
    </row>
    <row r="12" spans="1:4">
      <c r="A12" s="15" t="str">
        <f>'Validation List'!B7</f>
        <v>Female</v>
      </c>
      <c r="B12" s="16">
        <f>COUNTIF(Table2[Your gender. Are you?],A12)</f>
        <v>0</v>
      </c>
      <c r="C12" s="17" t="e">
        <f t="shared" ref="C12:C13" si="1">B12/No_in_Audit*100</f>
        <v>#DIV/0!</v>
      </c>
      <c r="D12" s="17" t="e">
        <f>B12/(No_in_Audit-COUNTIF(Table2[Your gender. Are you?],"Not answered"))*100</f>
        <v>#DIV/0!</v>
      </c>
    </row>
    <row r="13" spans="1:4">
      <c r="A13" s="15" t="str">
        <f>'Validation List'!B8</f>
        <v>Other</v>
      </c>
      <c r="B13" s="16">
        <f>COUNTIF(Table2[Your gender. Are you?],A13)</f>
        <v>0</v>
      </c>
      <c r="C13" s="17" t="e">
        <f t="shared" si="1"/>
        <v>#DIV/0!</v>
      </c>
      <c r="D13" s="17" t="e">
        <f>B13/(No_in_Audit-COUNTIF(Table2[Your gender. Are you?],"Not answered"))*100</f>
        <v>#DIV/0!</v>
      </c>
    </row>
    <row r="14" spans="1:4" ht="15" customHeight="1">
      <c r="A14" s="15" t="str">
        <f>'Validation List'!B15</f>
        <v>Not answered</v>
      </c>
      <c r="B14" s="16">
        <f>COUNTIF(Table2[Your gender. Are you?],A14)</f>
        <v>0</v>
      </c>
      <c r="C14" s="17" t="e">
        <f t="shared" si="0"/>
        <v>#DIV/0!</v>
      </c>
      <c r="D14" s="17"/>
    </row>
    <row r="15" spans="1:4">
      <c r="A15" s="15" t="s">
        <v>39</v>
      </c>
      <c r="B15" s="16">
        <f>SUM(B11:B14)</f>
        <v>0</v>
      </c>
      <c r="C15" s="17" t="e">
        <f>SUM(C11:C14)</f>
        <v>#DIV/0!</v>
      </c>
      <c r="D15" s="17" t="e">
        <f>SUM(D11:D14)</f>
        <v>#DIV/0!</v>
      </c>
    </row>
    <row r="18" spans="1:4">
      <c r="A18" s="54" t="str">
        <f>'Validation List'!C3</f>
        <v>Age category</v>
      </c>
      <c r="B18" s="55"/>
      <c r="C18" s="55"/>
      <c r="D18" s="49"/>
    </row>
    <row r="19" spans="1:4">
      <c r="A19" s="15"/>
      <c r="B19" s="16" t="s">
        <v>37</v>
      </c>
      <c r="C19" s="17" t="s">
        <v>38</v>
      </c>
      <c r="D19" s="17" t="s">
        <v>42</v>
      </c>
    </row>
    <row r="20" spans="1:4" ht="15" customHeight="1">
      <c r="A20" s="15" t="str">
        <f>'Validation List'!C6</f>
        <v>Under 18 years of age</v>
      </c>
      <c r="B20" s="16">
        <f>COUNTIF(Table2[What is your age category?],A20)</f>
        <v>0</v>
      </c>
      <c r="C20" s="17" t="e">
        <f t="shared" ref="C20:C26" si="2">B20/No_in_Audit*100</f>
        <v>#DIV/0!</v>
      </c>
      <c r="D20" s="17" t="e">
        <f>B20/(No_in_Audit-COUNTIF(Table2[What is your age category?],"Not answered"))*100</f>
        <v>#DIV/0!</v>
      </c>
    </row>
    <row r="21" spans="1:4" ht="15" customHeight="1">
      <c r="A21" s="15" t="str">
        <f>'Validation List'!C7</f>
        <v>18-24yrs</v>
      </c>
      <c r="B21" s="16">
        <f>COUNTIF(Table2[What is your age category?],A21)</f>
        <v>0</v>
      </c>
      <c r="C21" s="17" t="e">
        <f t="shared" si="2"/>
        <v>#DIV/0!</v>
      </c>
      <c r="D21" s="17" t="e">
        <f>B21/(No_in_Audit-COUNTIF(Table2[What is your age category?],"Not answered"))*100</f>
        <v>#DIV/0!</v>
      </c>
    </row>
    <row r="22" spans="1:4" ht="15" customHeight="1">
      <c r="A22" s="15" t="str">
        <f>'Validation List'!C8</f>
        <v>25-44yrs</v>
      </c>
      <c r="B22" s="16">
        <f>COUNTIF(Table2[What is your age category?],A22)</f>
        <v>0</v>
      </c>
      <c r="C22" s="17" t="e">
        <f t="shared" ref="C22:C25" si="3">B22/No_in_Audit*100</f>
        <v>#DIV/0!</v>
      </c>
      <c r="D22" s="17" t="e">
        <f>B22/(No_in_Audit-COUNTIF(Table2[What is your age category?],"Not answered"))*100</f>
        <v>#DIV/0!</v>
      </c>
    </row>
    <row r="23" spans="1:4" ht="15" customHeight="1">
      <c r="A23" s="15" t="str">
        <f>'Validation List'!C9</f>
        <v>45-64yrs</v>
      </c>
      <c r="B23" s="16">
        <f>COUNTIF(Table2[What is your age category?],A23)</f>
        <v>0</v>
      </c>
      <c r="C23" s="17" t="e">
        <f t="shared" si="3"/>
        <v>#DIV/0!</v>
      </c>
      <c r="D23" s="17" t="e">
        <f>B23/(No_in_Audit-COUNTIF(Table2[What is your age category?],"Not answered"))*100</f>
        <v>#DIV/0!</v>
      </c>
    </row>
    <row r="24" spans="1:4" ht="15" customHeight="1">
      <c r="A24" s="15" t="str">
        <f>'Validation List'!C10</f>
        <v>65-74yrs</v>
      </c>
      <c r="B24" s="16">
        <f>COUNTIF(Table2[What is your age category?],A24)</f>
        <v>0</v>
      </c>
      <c r="C24" s="17" t="e">
        <f t="shared" si="3"/>
        <v>#DIV/0!</v>
      </c>
      <c r="D24" s="17" t="e">
        <f>B24/(No_in_Audit-COUNTIF(Table2[What is your age category?],"Not answered"))*100</f>
        <v>#DIV/0!</v>
      </c>
    </row>
    <row r="25" spans="1:4" ht="15" customHeight="1">
      <c r="A25" s="15" t="str">
        <f>'Validation List'!C11</f>
        <v>75 years +</v>
      </c>
      <c r="B25" s="16">
        <f>COUNTIF(Table2[What is your age category?],A25)</f>
        <v>0</v>
      </c>
      <c r="C25" s="17" t="e">
        <f t="shared" si="3"/>
        <v>#DIV/0!</v>
      </c>
      <c r="D25" s="17" t="e">
        <f>B25/(No_in_Audit-COUNTIF(Table2[What is your age category?],"Not answered"))*100</f>
        <v>#DIV/0!</v>
      </c>
    </row>
    <row r="26" spans="1:4">
      <c r="A26" s="15" t="str">
        <f>'Validation List'!C15</f>
        <v>Not answered</v>
      </c>
      <c r="B26" s="16">
        <f>COUNTIF(Table2[What is your age category?],A26)</f>
        <v>0</v>
      </c>
      <c r="C26" s="17" t="e">
        <f t="shared" si="2"/>
        <v>#DIV/0!</v>
      </c>
      <c r="D26" s="17"/>
    </row>
    <row r="27" spans="1:4">
      <c r="A27" s="15" t="s">
        <v>39</v>
      </c>
      <c r="B27" s="16">
        <f>SUM(B20:B26)</f>
        <v>0</v>
      </c>
      <c r="C27" s="17" t="e">
        <f>SUM(C20:C26)</f>
        <v>#DIV/0!</v>
      </c>
      <c r="D27" s="17" t="e">
        <f>SUM(D20:D26)</f>
        <v>#DIV/0!</v>
      </c>
    </row>
    <row r="30" spans="1:4">
      <c r="A30" s="54" t="str">
        <f>'Validation List'!D3</f>
        <v>Holder of Health cards</v>
      </c>
      <c r="B30" s="55"/>
      <c r="C30" s="55"/>
      <c r="D30" s="49"/>
    </row>
    <row r="31" spans="1:4">
      <c r="A31" s="15"/>
      <c r="B31" s="16" t="s">
        <v>37</v>
      </c>
      <c r="C31" s="17" t="s">
        <v>38</v>
      </c>
      <c r="D31" s="17" t="s">
        <v>42</v>
      </c>
    </row>
    <row r="32" spans="1:4">
      <c r="A32" s="15" t="str">
        <f>'Validation List'!D6</f>
        <v>Medical Card</v>
      </c>
      <c r="B32" s="16">
        <f>COUNTIF(Table2[Do you hold any of the following cards?],A32)</f>
        <v>0</v>
      </c>
      <c r="C32" s="17" t="e">
        <f t="shared" ref="C32:C41" si="4">B32/No_in_Audit*100</f>
        <v>#DIV/0!</v>
      </c>
      <c r="D32" s="17" t="e">
        <f>B32/(No_in_Audit-COUNTIF(Table2[Do you hold any of the following cards?],"Not answered"))*100</f>
        <v>#DIV/0!</v>
      </c>
    </row>
    <row r="33" spans="1:4">
      <c r="A33" s="15" t="str">
        <f>'Validation List'!D7</f>
        <v>GP Visit Card</v>
      </c>
      <c r="B33" s="16">
        <f>COUNTIF(Table2[Do you hold any of the following cards?],A33)</f>
        <v>0</v>
      </c>
      <c r="C33" s="17" t="e">
        <f t="shared" si="4"/>
        <v>#DIV/0!</v>
      </c>
      <c r="D33" s="17" t="e">
        <f>B33/(No_in_Audit-COUNTIF(Table2[Do you hold any of the following cards?],"Not answered"))*100</f>
        <v>#DIV/0!</v>
      </c>
    </row>
    <row r="34" spans="1:4">
      <c r="A34" s="15" t="str">
        <f>'Validation List'!D8</f>
        <v>Long-term Illness Card</v>
      </c>
      <c r="B34" s="16">
        <f>COUNTIF(Table2[Do you hold any of the following cards?],A34)</f>
        <v>0</v>
      </c>
      <c r="C34" s="17" t="e">
        <f t="shared" ref="C34:C40" si="5">B34/No_in_Audit*100</f>
        <v>#DIV/0!</v>
      </c>
      <c r="D34" s="17" t="e">
        <f>B34/(No_in_Audit-COUNTIF(Table2[Do you hold any of the following cards?],"Not answered"))*100</f>
        <v>#DIV/0!</v>
      </c>
    </row>
    <row r="35" spans="1:4" ht="30">
      <c r="A35" s="15" t="str">
        <f>'Validation List'!D9</f>
        <v>Health Amendment Act Card</v>
      </c>
      <c r="B35" s="16">
        <f>COUNTIF(Table2[Do you hold any of the following cards?],A35)</f>
        <v>0</v>
      </c>
      <c r="C35" s="17" t="e">
        <f t="shared" si="5"/>
        <v>#DIV/0!</v>
      </c>
      <c r="D35" s="17" t="e">
        <f>B35/(No_in_Audit-COUNTIF(Table2[Do you hold any of the following cards?],"Not answered"))*100</f>
        <v>#DIV/0!</v>
      </c>
    </row>
    <row r="36" spans="1:4" ht="30">
      <c r="A36" s="15" t="str">
        <f>'Validation List'!D10</f>
        <v>European Health Insurance Card</v>
      </c>
      <c r="B36" s="16">
        <f>COUNTIF(Table2[Do you hold any of the following cards?],A36)</f>
        <v>0</v>
      </c>
      <c r="C36" s="17" t="e">
        <f t="shared" si="5"/>
        <v>#DIV/0!</v>
      </c>
      <c r="D36" s="17" t="e">
        <f>B36/(No_in_Audit-COUNTIF(Table2[Do you hold any of the following cards?],"Not answered"))*100</f>
        <v>#DIV/0!</v>
      </c>
    </row>
    <row r="37" spans="1:4" ht="30">
      <c r="A37" s="15" t="str">
        <f>'Validation List'!D11</f>
        <v>Drug Payment Scheme Card</v>
      </c>
      <c r="B37" s="16">
        <f>COUNTIF(Table2[Do you hold any of the following cards?],A37)</f>
        <v>0</v>
      </c>
      <c r="C37" s="17" t="e">
        <f t="shared" si="5"/>
        <v>#DIV/0!</v>
      </c>
      <c r="D37" s="17" t="e">
        <f>B37/(No_in_Audit-COUNTIF(Table2[Do you hold any of the following cards?],"Not answered"))*100</f>
        <v>#DIV/0!</v>
      </c>
    </row>
    <row r="38" spans="1:4">
      <c r="A38" s="15" t="str">
        <f>'Validation List'!D12</f>
        <v>Other</v>
      </c>
      <c r="B38" s="16">
        <f>COUNTIF(Table2[Do you hold any of the following cards?],A38)</f>
        <v>0</v>
      </c>
      <c r="C38" s="17" t="e">
        <f t="shared" si="5"/>
        <v>#DIV/0!</v>
      </c>
      <c r="D38" s="17" t="e">
        <f>B38/(No_in_Audit-COUNTIF(Table2[Do you hold any of the following cards?],"Not answered"))*100</f>
        <v>#DIV/0!</v>
      </c>
    </row>
    <row r="39" spans="1:4" ht="30">
      <c r="A39" s="15" t="str">
        <f>'Validation List'!D13</f>
        <v>2 or more of the above cards</v>
      </c>
      <c r="B39" s="16">
        <f>COUNTIF(Table2[Do you hold any of the following cards?],A39)</f>
        <v>0</v>
      </c>
      <c r="C39" s="17" t="e">
        <f t="shared" si="5"/>
        <v>#DIV/0!</v>
      </c>
      <c r="D39" s="17" t="e">
        <f>B39/(No_in_Audit-COUNTIF(Table2[Do you hold any of the following cards?],"Not answered"))*100</f>
        <v>#DIV/0!</v>
      </c>
    </row>
    <row r="40" spans="1:4">
      <c r="A40" s="15" t="str">
        <f>'Validation List'!D14</f>
        <v>None of these</v>
      </c>
      <c r="B40" s="16">
        <f>COUNTIF(Table2[Do you hold any of the following cards?],A40)</f>
        <v>0</v>
      </c>
      <c r="C40" s="17" t="e">
        <f t="shared" si="5"/>
        <v>#DIV/0!</v>
      </c>
      <c r="D40" s="17" t="e">
        <f>B40/(No_in_Audit-COUNTIF(Table2[Do you hold any of the following cards?],"Not answered"))*100</f>
        <v>#DIV/0!</v>
      </c>
    </row>
    <row r="41" spans="1:4">
      <c r="A41" s="15" t="str">
        <f>'Validation List'!D15</f>
        <v>Not answered</v>
      </c>
      <c r="B41" s="16">
        <f>COUNTIF(Table2[Do you hold any of the following cards?],A41)</f>
        <v>0</v>
      </c>
      <c r="C41" s="17" t="e">
        <f t="shared" si="4"/>
        <v>#DIV/0!</v>
      </c>
      <c r="D41" s="17"/>
    </row>
    <row r="42" spans="1:4">
      <c r="A42" s="15" t="s">
        <v>39</v>
      </c>
      <c r="B42" s="16">
        <f>SUM(B32:B41)</f>
        <v>0</v>
      </c>
      <c r="C42" s="17" t="e">
        <f>SUM(C32:C41)</f>
        <v>#DIV/0!</v>
      </c>
      <c r="D42" s="17" t="e">
        <f>SUM(D32:D41)</f>
        <v>#DIV/0!</v>
      </c>
    </row>
    <row r="45" spans="1:4" s="18" customFormat="1" ht="29.25" customHeight="1">
      <c r="A45" s="47" t="str">
        <f>'Validation List'!E3</f>
        <v>Use of Interpreter Services</v>
      </c>
      <c r="B45" s="48"/>
      <c r="C45" s="48"/>
      <c r="D45" s="52"/>
    </row>
    <row r="46" spans="1:4">
      <c r="A46" s="15"/>
      <c r="B46" s="16" t="s">
        <v>37</v>
      </c>
      <c r="C46" s="17" t="s">
        <v>38</v>
      </c>
      <c r="D46" s="17" t="s">
        <v>42</v>
      </c>
    </row>
    <row r="47" spans="1:4" ht="30">
      <c r="A47" s="15" t="str">
        <f>'Validation List'!E6</f>
        <v>I did not use an interpreter for my appointment</v>
      </c>
      <c r="B47" s="16">
        <f>COUNTIF(Table2[Please state which of the following applies to you?],A47)</f>
        <v>0</v>
      </c>
      <c r="C47" s="17" t="e">
        <f t="shared" ref="C47:C50" si="6">B47/No_in_Audit*100</f>
        <v>#DIV/0!</v>
      </c>
      <c r="D47" s="17" t="e">
        <f>B47/(No_in_Audit-COUNTIF(Table2[Please state which of the following applies to you?],"Not answered"))*100</f>
        <v>#DIV/0!</v>
      </c>
    </row>
    <row r="48" spans="1:4">
      <c r="A48" s="15" t="str">
        <f>'Validation List'!E7</f>
        <v>I used a Sign interpreter</v>
      </c>
      <c r="B48" s="16">
        <f>COUNTIF(Table2[Please state which of the following applies to you?],A48)</f>
        <v>0</v>
      </c>
      <c r="C48" s="17" t="e">
        <f t="shared" si="6"/>
        <v>#DIV/0!</v>
      </c>
      <c r="D48" s="17" t="e">
        <f>B48/(No_in_Audit-COUNTIF(Table2[Please state which of the following applies to you?],"Not answered"))*100</f>
        <v>#DIV/0!</v>
      </c>
    </row>
    <row r="49" spans="1:4" ht="30">
      <c r="A49" s="15" t="str">
        <f>'Validation List'!E8</f>
        <v>I used a Language interpreter</v>
      </c>
      <c r="B49" s="16">
        <f>COUNTIF(Table2[Please state which of the following applies to you?],A49)</f>
        <v>0</v>
      </c>
      <c r="C49" s="17" t="e">
        <f t="shared" si="6"/>
        <v>#DIV/0!</v>
      </c>
      <c r="D49" s="17" t="e">
        <f>B49/(No_in_Audit-COUNTIF(Table2[Please state which of the following applies to you?],"Not answered"))*100</f>
        <v>#DIV/0!</v>
      </c>
    </row>
    <row r="50" spans="1:4">
      <c r="A50" s="15" t="str">
        <f>'Validation List'!E15</f>
        <v>Not answered</v>
      </c>
      <c r="B50" s="16">
        <f>COUNTIF(Table2[Please state which of the following applies to you?],A50)</f>
        <v>0</v>
      </c>
      <c r="C50" s="17" t="e">
        <f t="shared" si="6"/>
        <v>#DIV/0!</v>
      </c>
      <c r="D50" s="17"/>
    </row>
    <row r="51" spans="1:4">
      <c r="A51" s="15" t="s">
        <v>39</v>
      </c>
      <c r="B51" s="16">
        <f>SUM(B47:B50)</f>
        <v>0</v>
      </c>
      <c r="C51" s="17" t="e">
        <f>SUM(C47:C50)</f>
        <v>#DIV/0!</v>
      </c>
      <c r="D51" s="17" t="e">
        <f>SUM(D47:D50)</f>
        <v>#DIV/0!</v>
      </c>
    </row>
    <row r="54" spans="1:4">
      <c r="A54" s="47" t="str">
        <f>'Validation List'!F3</f>
        <v>Patients Country of Origin.</v>
      </c>
      <c r="B54" s="48"/>
      <c r="C54" s="48"/>
      <c r="D54" s="49"/>
    </row>
    <row r="55" spans="1:4">
      <c r="A55" s="15"/>
      <c r="B55" s="16" t="s">
        <v>37</v>
      </c>
      <c r="C55" s="17" t="s">
        <v>38</v>
      </c>
      <c r="D55" s="17" t="s">
        <v>42</v>
      </c>
    </row>
    <row r="56" spans="1:4">
      <c r="A56" s="15" t="str">
        <f>'Validation List'!F6</f>
        <v>Ireland</v>
      </c>
      <c r="B56" s="16">
        <f>COUNTIF(Table2[Please tell us your country of origin.],A56)</f>
        <v>0</v>
      </c>
      <c r="C56" s="17" t="e">
        <f t="shared" ref="C56:C61" si="7">B56/No_in_Audit*100</f>
        <v>#DIV/0!</v>
      </c>
      <c r="D56" s="17" t="e">
        <f>B56/(No_in_Audit-COUNTIF(Table2[Please tell us your country of origin.],"Not answered"))*100</f>
        <v>#DIV/0!</v>
      </c>
    </row>
    <row r="57" spans="1:4">
      <c r="A57" s="15" t="str">
        <f>'Validation List'!F7</f>
        <v>United Kingdom</v>
      </c>
      <c r="B57" s="16">
        <f>COUNTIF(Table2[Please tell us your country of origin.],A57)</f>
        <v>0</v>
      </c>
      <c r="C57" s="17" t="e">
        <f t="shared" si="7"/>
        <v>#DIV/0!</v>
      </c>
      <c r="D57" s="17" t="e">
        <f>B57/(No_in_Audit-COUNTIF(Table2[Please tell us your country of origin.],"Not answered"))*100</f>
        <v>#DIV/0!</v>
      </c>
    </row>
    <row r="58" spans="1:4">
      <c r="A58" s="15" t="str">
        <f>'Validation List'!F8</f>
        <v>EU</v>
      </c>
      <c r="B58" s="16">
        <f>COUNTIF(Table2[Please tell us your country of origin.],A58)</f>
        <v>0</v>
      </c>
      <c r="C58" s="17" t="e">
        <f t="shared" si="7"/>
        <v>#DIV/0!</v>
      </c>
      <c r="D58" s="17" t="e">
        <f>B58/(No_in_Audit-COUNTIF(Table2[Please tell us your country of origin.],"Not answered"))*100</f>
        <v>#DIV/0!</v>
      </c>
    </row>
    <row r="59" spans="1:4">
      <c r="A59" s="15" t="str">
        <f>'Validation List'!F9</f>
        <v>Non-EU</v>
      </c>
      <c r="B59" s="16">
        <f>COUNTIF(Table2[Please tell us your country of origin.],A59)</f>
        <v>0</v>
      </c>
      <c r="C59" s="17" t="e">
        <f t="shared" si="7"/>
        <v>#DIV/0!</v>
      </c>
      <c r="D59" s="17" t="e">
        <f>B59/(No_in_Audit-COUNTIF(Table2[Please tell us your country of origin.],"Not answered"))*100</f>
        <v>#DIV/0!</v>
      </c>
    </row>
    <row r="60" spans="1:4">
      <c r="A60" s="15" t="str">
        <f>'Validation List'!F10</f>
        <v>Other</v>
      </c>
      <c r="B60" s="16">
        <f>COUNTIF(Table2[Please tell us your country of origin.],A60)</f>
        <v>0</v>
      </c>
      <c r="C60" s="17" t="e">
        <f t="shared" si="7"/>
        <v>#DIV/0!</v>
      </c>
      <c r="D60" s="17" t="e">
        <f>B60/(No_in_Audit-COUNTIF(Table2[Please tell us your country of origin.],"Not answered"))*100</f>
        <v>#DIV/0!</v>
      </c>
    </row>
    <row r="61" spans="1:4">
      <c r="A61" s="15" t="str">
        <f>'Validation List'!F15</f>
        <v>Not answered</v>
      </c>
      <c r="B61" s="16">
        <f>COUNTIF(Table2[Please tell us your country of origin.],A61)</f>
        <v>0</v>
      </c>
      <c r="C61" s="17" t="e">
        <f t="shared" si="7"/>
        <v>#DIV/0!</v>
      </c>
      <c r="D61" s="17"/>
    </row>
    <row r="62" spans="1:4">
      <c r="A62" s="15" t="s">
        <v>39</v>
      </c>
      <c r="B62" s="16">
        <f>SUM(B56:B61)</f>
        <v>0</v>
      </c>
      <c r="C62" s="17" t="e">
        <f>SUM(C56:C61)</f>
        <v>#DIV/0!</v>
      </c>
      <c r="D62" s="17" t="e">
        <f>SUM(D56:D61)</f>
        <v>#DIV/0!</v>
      </c>
    </row>
    <row r="65" spans="1:4">
      <c r="A65" s="47" t="str">
        <f>'Validation List'!G3</f>
        <v>Primary Care Team services attended on day of survey</v>
      </c>
      <c r="B65" s="48"/>
      <c r="C65" s="48"/>
      <c r="D65" s="49"/>
    </row>
    <row r="66" spans="1:4">
      <c r="A66" s="15"/>
      <c r="B66" s="16" t="s">
        <v>37</v>
      </c>
      <c r="C66" s="17" t="s">
        <v>38</v>
      </c>
      <c r="D66" s="17" t="s">
        <v>42</v>
      </c>
    </row>
    <row r="67" spans="1:4">
      <c r="A67" s="15" t="str">
        <f>'Validation List'!G17</f>
        <v>GP</v>
      </c>
      <c r="B67" s="16">
        <f>COUNTIF(Table2[Which of the following primary care team services did you attend today?],A67)</f>
        <v>0</v>
      </c>
      <c r="C67" s="17" t="e">
        <f t="shared" ref="C67:C84" si="8">B67/No_in_Audit*100</f>
        <v>#DIV/0!</v>
      </c>
      <c r="D67" s="17" t="e">
        <f>B67/(No_in_Audit-COUNTIF(Table2[Which of the following primary care team services did you attend today?],"Not answered"))*100</f>
        <v>#DIV/0!</v>
      </c>
    </row>
    <row r="68" spans="1:4">
      <c r="A68" s="15" t="str">
        <f>'Validation List'!G18</f>
        <v>Practice Nurse</v>
      </c>
      <c r="B68" s="16">
        <f>COUNTIF(Table2[Which of the following primary care team services did you attend today?],A68)</f>
        <v>0</v>
      </c>
      <c r="C68" s="17" t="e">
        <f t="shared" si="8"/>
        <v>#DIV/0!</v>
      </c>
      <c r="D68" s="17" t="e">
        <f>B68/(No_in_Audit-COUNTIF(Table2[Which of the following primary care team services did you attend today?],"Not answered"))*100</f>
        <v>#DIV/0!</v>
      </c>
    </row>
    <row r="69" spans="1:4" ht="30">
      <c r="A69" s="15" t="str">
        <f>'Validation List'!G19</f>
        <v>Public Health Nurse or Community Nurse</v>
      </c>
      <c r="B69" s="16">
        <f>COUNTIF(Table2[Which of the following primary care team services did you attend today?],A69)</f>
        <v>0</v>
      </c>
      <c r="C69" s="17" t="e">
        <f t="shared" si="8"/>
        <v>#DIV/0!</v>
      </c>
      <c r="D69" s="17" t="e">
        <f>B69/(No_in_Audit-COUNTIF(Table2[Which of the following primary care team services did you attend today?],"Not answered"))*100</f>
        <v>#DIV/0!</v>
      </c>
    </row>
    <row r="70" spans="1:4">
      <c r="A70" s="15" t="str">
        <f>'Validation List'!G20</f>
        <v>Physiotherapist</v>
      </c>
      <c r="B70" s="16">
        <f>COUNTIF(Table2[Which of the following primary care team services did you attend today?],A70)</f>
        <v>0</v>
      </c>
      <c r="C70" s="17" t="e">
        <f t="shared" si="8"/>
        <v>#DIV/0!</v>
      </c>
      <c r="D70" s="17" t="e">
        <f>B70/(No_in_Audit-COUNTIF(Table2[Which of the following primary care team services did you attend today?],"Not answered"))*100</f>
        <v>#DIV/0!</v>
      </c>
    </row>
    <row r="71" spans="1:4">
      <c r="A71" s="15" t="str">
        <f>'Validation List'!G21</f>
        <v>Occupational Therapist</v>
      </c>
      <c r="B71" s="16">
        <f>COUNTIF(Table2[Which of the following primary care team services did you attend today?],A71)</f>
        <v>0</v>
      </c>
      <c r="C71" s="17" t="e">
        <f t="shared" si="8"/>
        <v>#DIV/0!</v>
      </c>
      <c r="D71" s="17" t="e">
        <f>B71/(No_in_Audit-COUNTIF(Table2[Which of the following primary care team services did you attend today?],"Not answered"))*100</f>
        <v>#DIV/0!</v>
      </c>
    </row>
    <row r="72" spans="1:4">
      <c r="A72" s="15" t="str">
        <f>'Validation List'!G22</f>
        <v>SLT</v>
      </c>
      <c r="B72" s="16">
        <f>COUNTIF(Table2[Which of the following primary care team services did you attend today?],A72)</f>
        <v>0</v>
      </c>
      <c r="C72" s="17" t="e">
        <f t="shared" ref="C72:C83" si="9">B72/No_in_Audit*100</f>
        <v>#DIV/0!</v>
      </c>
      <c r="D72" s="17" t="e">
        <f>B72/(No_in_Audit-COUNTIF(Table2[Which of the following primary care team services did you attend today?],"Not answered"))*100</f>
        <v>#DIV/0!</v>
      </c>
    </row>
    <row r="73" spans="1:4">
      <c r="A73" s="15" t="str">
        <f>'Validation List'!G23</f>
        <v>Dentist</v>
      </c>
      <c r="B73" s="16">
        <f>COUNTIF(Table2[Which of the following primary care team services did you attend today?],A73)</f>
        <v>0</v>
      </c>
      <c r="C73" s="17" t="e">
        <f t="shared" si="9"/>
        <v>#DIV/0!</v>
      </c>
      <c r="D73" s="17" t="e">
        <f>B73/(No_in_Audit-COUNTIF(Table2[Which of the following primary care team services did you attend today?],"Not answered"))*100</f>
        <v>#DIV/0!</v>
      </c>
    </row>
    <row r="74" spans="1:4">
      <c r="A74" s="15" t="str">
        <f>'Validation List'!G24</f>
        <v>Dental Hygienist/ Nurse</v>
      </c>
      <c r="B74" s="16">
        <f>COUNTIF(Table2[Which of the following primary care team services did you attend today?],A74)</f>
        <v>0</v>
      </c>
      <c r="C74" s="17" t="e">
        <f t="shared" si="9"/>
        <v>#DIV/0!</v>
      </c>
      <c r="D74" s="17" t="e">
        <f>B74/(No_in_Audit-COUNTIF(Table2[Which of the following primary care team services did you attend today?],"Not answered"))*100</f>
        <v>#DIV/0!</v>
      </c>
    </row>
    <row r="75" spans="1:4">
      <c r="A75" s="15" t="str">
        <f>'Validation List'!G25</f>
        <v>Podiatrist/ Chiropodist</v>
      </c>
      <c r="B75" s="16">
        <f>COUNTIF(Table2[Which of the following primary care team services did you attend today?],A75)</f>
        <v>0</v>
      </c>
      <c r="C75" s="17" t="e">
        <f t="shared" si="9"/>
        <v>#DIV/0!</v>
      </c>
      <c r="D75" s="17" t="e">
        <f>B75/(No_in_Audit-COUNTIF(Table2[Which of the following primary care team services did you attend today?],"Not answered"))*100</f>
        <v>#DIV/0!</v>
      </c>
    </row>
    <row r="76" spans="1:4">
      <c r="A76" s="15" t="str">
        <f>'Validation List'!G26</f>
        <v>Dietician</v>
      </c>
      <c r="B76" s="16">
        <f>COUNTIF(Table2[Which of the following primary care team services did you attend today?],A76)</f>
        <v>0</v>
      </c>
      <c r="C76" s="17" t="e">
        <f t="shared" si="9"/>
        <v>#DIV/0!</v>
      </c>
      <c r="D76" s="17" t="e">
        <f>B76/(No_in_Audit-COUNTIF(Table2[Which of the following primary care team services did you attend today?],"Not answered"))*100</f>
        <v>#DIV/0!</v>
      </c>
    </row>
    <row r="77" spans="1:4">
      <c r="A77" s="15" t="str">
        <f>'Validation List'!G27</f>
        <v>Psychology</v>
      </c>
      <c r="B77" s="16">
        <f>COUNTIF(Table2[Which of the following primary care team services did you attend today?],A77)</f>
        <v>0</v>
      </c>
      <c r="C77" s="17" t="e">
        <f t="shared" si="9"/>
        <v>#DIV/0!</v>
      </c>
      <c r="D77" s="17" t="e">
        <f>B77/(No_in_Audit-COUNTIF(Table2[Which of the following primary care team services did you attend today?],"Not answered"))*100</f>
        <v>#DIV/0!</v>
      </c>
    </row>
    <row r="78" spans="1:4">
      <c r="A78" s="15" t="str">
        <f>'Validation List'!G28</f>
        <v>Orthodontic</v>
      </c>
      <c r="B78" s="16">
        <f>COUNTIF(Table2[Which of the following primary care team services did you attend today?],A78)</f>
        <v>0</v>
      </c>
      <c r="C78" s="17" t="e">
        <f t="shared" si="9"/>
        <v>#DIV/0!</v>
      </c>
      <c r="D78" s="17" t="e">
        <f>B78/(No_in_Audit-COUNTIF(Table2[Which of the following primary care team services did you attend today?],"Not answered"))*100</f>
        <v>#DIV/0!</v>
      </c>
    </row>
    <row r="79" spans="1:4">
      <c r="A79" s="15" t="str">
        <f>'Validation List'!G29</f>
        <v>Social Work</v>
      </c>
      <c r="B79" s="16">
        <f>COUNTIF(Table2[Which of the following primary care team services did you attend today?],A79)</f>
        <v>0</v>
      </c>
      <c r="C79" s="17" t="e">
        <f t="shared" si="9"/>
        <v>#DIV/0!</v>
      </c>
      <c r="D79" s="17" t="e">
        <f>B79/(No_in_Audit-COUNTIF(Table2[Which of the following primary care team services did you attend today?],"Not answered"))*100</f>
        <v>#DIV/0!</v>
      </c>
    </row>
    <row r="80" spans="1:4">
      <c r="A80" s="15" t="str">
        <f>'Validation List'!G30</f>
        <v>Ophthalmic</v>
      </c>
      <c r="B80" s="16">
        <f>COUNTIF(Table2[Which of the following primary care team services did you attend today?],A80)</f>
        <v>0</v>
      </c>
      <c r="C80" s="17" t="e">
        <f t="shared" si="9"/>
        <v>#DIV/0!</v>
      </c>
      <c r="D80" s="17" t="e">
        <f>B80/(No_in_Audit-COUNTIF(Table2[Which of the following primary care team services did you attend today?],"Not answered"))*100</f>
        <v>#DIV/0!</v>
      </c>
    </row>
    <row r="81" spans="1:4">
      <c r="A81" s="15" t="str">
        <f>'Validation List'!G31</f>
        <v>Audiology</v>
      </c>
      <c r="B81" s="16">
        <f>COUNTIF(Table2[Which of the following primary care team services did you attend today?],A81)</f>
        <v>0</v>
      </c>
      <c r="C81" s="17" t="e">
        <f t="shared" si="9"/>
        <v>#DIV/0!</v>
      </c>
      <c r="D81" s="17" t="e">
        <f>B81/(No_in_Audit-COUNTIF(Table2[Which of the following primary care team services did you attend today?],"Not answered"))*100</f>
        <v>#DIV/0!</v>
      </c>
    </row>
    <row r="82" spans="1:4">
      <c r="A82" s="15" t="str">
        <f>'Validation List'!G32</f>
        <v>Another service</v>
      </c>
      <c r="B82" s="16">
        <f>COUNTIF(Table2[Which of the following primary care team services did you attend today?],A82)</f>
        <v>0</v>
      </c>
      <c r="C82" s="17" t="e">
        <f t="shared" si="9"/>
        <v>#DIV/0!</v>
      </c>
      <c r="D82" s="17" t="e">
        <f>B82/(No_in_Audit-COUNTIF(Table2[Which of the following primary care team services did you attend today?],"Not answered"))*100</f>
        <v>#DIV/0!</v>
      </c>
    </row>
    <row r="83" spans="1:4" ht="30">
      <c r="A83" s="15" t="str">
        <f>'Validation List'!G33</f>
        <v>Attended more than one service</v>
      </c>
      <c r="B83" s="16">
        <f>COUNTIF(Table2[Which of the following primary care team services did you attend today?],A83)</f>
        <v>0</v>
      </c>
      <c r="C83" s="17" t="e">
        <f t="shared" si="9"/>
        <v>#DIV/0!</v>
      </c>
      <c r="D83" s="17" t="e">
        <f>B83/(No_in_Audit-COUNTIF(Table2[Which of the following primary care team services did you attend today?],"Not answered"))*100</f>
        <v>#DIV/0!</v>
      </c>
    </row>
    <row r="84" spans="1:4">
      <c r="A84" s="15" t="str">
        <f>'Validation List'!G15</f>
        <v>Not answered</v>
      </c>
      <c r="B84" s="16">
        <f>COUNTIF(Table2[Which of the following primary care team services did you attend today?],A84)</f>
        <v>0</v>
      </c>
      <c r="C84" s="17" t="e">
        <f t="shared" si="8"/>
        <v>#DIV/0!</v>
      </c>
      <c r="D84" s="17"/>
    </row>
    <row r="85" spans="1:4">
      <c r="A85" s="15" t="s">
        <v>39</v>
      </c>
      <c r="B85" s="16">
        <f>SUM(B67:B84)</f>
        <v>0</v>
      </c>
      <c r="C85" s="17" t="e">
        <f>SUM(C67:C84)</f>
        <v>#DIV/0!</v>
      </c>
      <c r="D85" s="17" t="e">
        <f>SUM(D67:D84)</f>
        <v>#DIV/0!</v>
      </c>
    </row>
    <row r="88" spans="1:4">
      <c r="A88" s="50" t="str">
        <f>'Validation List'!H3</f>
        <v>Patient's experience of accessing the service</v>
      </c>
      <c r="B88" s="50"/>
      <c r="C88" s="50"/>
      <c r="D88" s="51"/>
    </row>
    <row r="89" spans="1:4">
      <c r="A89" s="15"/>
      <c r="B89" s="16" t="s">
        <v>37</v>
      </c>
      <c r="C89" s="17" t="s">
        <v>38</v>
      </c>
      <c r="D89" s="17" t="s">
        <v>42</v>
      </c>
    </row>
    <row r="90" spans="1:4" ht="30">
      <c r="A90" s="15" t="str">
        <f>'Validation List'!H6</f>
        <v>I had no difficulties accessing the service.</v>
      </c>
      <c r="B90" s="16">
        <f>COUNTIF(Table2[Please tell us about your experience accessing the service today?],A90)</f>
        <v>0</v>
      </c>
      <c r="C90" s="17" t="e">
        <f t="shared" ref="C90:C97" si="10">B90/No_in_Audit*100</f>
        <v>#DIV/0!</v>
      </c>
      <c r="D90" s="17" t="e">
        <f>B90/(No_in_Audit-COUNTIF(Table2[Please tell us about your experience accessing the service today?],"Not answered")-COUNTIF(Table2[Please tell us about your experience accessing the service today?],"N/A"))*100</f>
        <v>#DIV/0!</v>
      </c>
    </row>
    <row r="91" spans="1:4" ht="30">
      <c r="A91" s="15" t="str">
        <f>'Validation List'!H7</f>
        <v>The opening times were not suitable.</v>
      </c>
      <c r="B91" s="16">
        <f>COUNTIF(Table2[Please tell us about your experience accessing the service today?],A91)</f>
        <v>0</v>
      </c>
      <c r="C91" s="17" t="e">
        <f t="shared" si="10"/>
        <v>#DIV/0!</v>
      </c>
      <c r="D91" s="17" t="e">
        <f>B91/(No_in_Audit-COUNTIF(Table2[Please tell us about your experience accessing the service today?],"Not answered")-COUNTIF(Table2[Please tell us about your experience accessing the service today?],"N/A"))*100</f>
        <v>#DIV/0!</v>
      </c>
    </row>
    <row r="92" spans="1:4" ht="45">
      <c r="A92" s="15" t="str">
        <f>'Validation List'!H8</f>
        <v>The waiting times for an appointment were too long.</v>
      </c>
      <c r="B92" s="16">
        <f>COUNTIF(Table2[Please tell us about your experience accessing the service today?],A92)</f>
        <v>0</v>
      </c>
      <c r="C92" s="17" t="e">
        <f t="shared" si="10"/>
        <v>#DIV/0!</v>
      </c>
      <c r="D92" s="17" t="e">
        <f>B92/(No_in_Audit-COUNTIF(Table2[Please tell us about your experience accessing the service today?],"Not answered")-COUNTIF(Table2[Please tell us about your experience accessing the service today?],"N/A"))*100</f>
        <v>#DIV/0!</v>
      </c>
    </row>
    <row r="93" spans="1:4" ht="60">
      <c r="A93" s="15" t="str">
        <f>'Validation List'!H9</f>
        <v>The service I needed had not been available within the primary care team until now.</v>
      </c>
      <c r="B93" s="16">
        <f>COUNTIF(Table2[Please tell us about your experience accessing the service today?],A93)</f>
        <v>0</v>
      </c>
      <c r="C93" s="17" t="e">
        <f t="shared" si="10"/>
        <v>#DIV/0!</v>
      </c>
      <c r="D93" s="17" t="e">
        <f>B93/(No_in_Audit-COUNTIF(Table2[Please tell us about your experience accessing the service today?],"Not answered")-COUNTIF(Table2[Please tell us about your experience accessing the service today?],"N/A"))*100</f>
        <v>#DIV/0!</v>
      </c>
    </row>
    <row r="94" spans="1:4" ht="45">
      <c r="A94" s="15" t="str">
        <f>'Validation List'!H10</f>
        <v>I could only get a referral to the service through another service.</v>
      </c>
      <c r="B94" s="16">
        <f>COUNTIF(Table2[Please tell us about your experience accessing the service today?],A94)</f>
        <v>0</v>
      </c>
      <c r="C94" s="17" t="e">
        <f t="shared" si="10"/>
        <v>#DIV/0!</v>
      </c>
      <c r="D94" s="17" t="e">
        <f>B94/(No_in_Audit-COUNTIF(Table2[Please tell us about your experience accessing the service today?],"Not answered")-COUNTIF(Table2[Please tell us about your experience accessing the service today?],"N/A"))*100</f>
        <v>#DIV/0!</v>
      </c>
    </row>
    <row r="95" spans="1:4">
      <c r="A95" s="15" t="str">
        <f>'Validation List'!H11</f>
        <v>Other difficulty</v>
      </c>
      <c r="B95" s="16">
        <f>COUNTIF(Table2[Please tell us about your experience accessing the service today?],A95)</f>
        <v>0</v>
      </c>
      <c r="C95" s="17" t="e">
        <f t="shared" ref="C95:C96" si="11">B95/No_in_Audit*100</f>
        <v>#DIV/0!</v>
      </c>
      <c r="D95" s="17" t="e">
        <f>B95/(No_in_Audit-COUNTIF(Table2[Please tell us about your experience accessing the service today?],"Not answered")-COUNTIF(Table2[Please tell us about your experience accessing the service today?],"N/A"))*100</f>
        <v>#DIV/0!</v>
      </c>
    </row>
    <row r="96" spans="1:4">
      <c r="A96" s="15" t="str">
        <f>'Validation List'!H12</f>
        <v>More than one difficulty</v>
      </c>
      <c r="B96" s="16">
        <f>COUNTIF(Table2[Please tell us about your experience accessing the service today?],A96)</f>
        <v>0</v>
      </c>
      <c r="C96" s="17" t="e">
        <f t="shared" si="11"/>
        <v>#DIV/0!</v>
      </c>
      <c r="D96" s="17" t="e">
        <f>B96/(No_in_Audit-COUNTIF(Table2[Please tell us about your experience accessing the service today?],"Not answered")-COUNTIF(Table2[Please tell us about your experience accessing the service today?],"N/A"))*100</f>
        <v>#DIV/0!</v>
      </c>
    </row>
    <row r="97" spans="1:4">
      <c r="A97" s="15" t="str">
        <f>'Validation List'!H15</f>
        <v>Not answered</v>
      </c>
      <c r="B97" s="16">
        <f>COUNTIF(Table2[Please tell us about your experience accessing the service today?],A97)</f>
        <v>0</v>
      </c>
      <c r="C97" s="17" t="e">
        <f t="shared" si="10"/>
        <v>#DIV/0!</v>
      </c>
      <c r="D97" s="17"/>
    </row>
    <row r="98" spans="1:4">
      <c r="A98" s="15" t="s">
        <v>39</v>
      </c>
      <c r="B98" s="16">
        <f>SUM(B90:B97)</f>
        <v>0</v>
      </c>
      <c r="C98" s="17" t="e">
        <f>SUM(C90:C97)</f>
        <v>#DIV/0!</v>
      </c>
      <c r="D98" s="17" t="e">
        <f>SUM(D90:D97)</f>
        <v>#DIV/0!</v>
      </c>
    </row>
    <row r="101" spans="1:4" ht="27" customHeight="1">
      <c r="A101" s="50" t="str">
        <f>'Validation List'!I3</f>
        <v>Place of patient's appointment</v>
      </c>
      <c r="B101" s="50"/>
      <c r="C101" s="50"/>
      <c r="D101" s="51"/>
    </row>
    <row r="102" spans="1:4">
      <c r="A102" s="15"/>
      <c r="B102" s="16" t="s">
        <v>37</v>
      </c>
      <c r="C102" s="17" t="s">
        <v>38</v>
      </c>
      <c r="D102" s="17" t="s">
        <v>42</v>
      </c>
    </row>
    <row r="103" spans="1:4" ht="15" customHeight="1">
      <c r="A103" s="15" t="str">
        <f>'Validation List'!I6</f>
        <v>Primary Care Health Centre</v>
      </c>
      <c r="B103" s="16">
        <f>COUNTIF(Table2[Where did your appointment take place?],A103)</f>
        <v>0</v>
      </c>
      <c r="C103" s="17" t="e">
        <f t="shared" ref="C103:C107" si="12">B103/No_in_Audit*100</f>
        <v>#DIV/0!</v>
      </c>
      <c r="D103" s="17" t="e">
        <f>B103/(No_in_Audit-COUNTIF(Table2[Where did your appointment take place?],"Not answered"))*100</f>
        <v>#DIV/0!</v>
      </c>
    </row>
    <row r="104" spans="1:4" ht="15" customHeight="1">
      <c r="A104" s="15" t="str">
        <f>'Validation List'!I7</f>
        <v>GP Surgery</v>
      </c>
      <c r="B104" s="16">
        <f>COUNTIF(Table2[Where did your appointment take place?],A104)</f>
        <v>0</v>
      </c>
      <c r="C104" s="17" t="e">
        <f t="shared" si="12"/>
        <v>#DIV/0!</v>
      </c>
      <c r="D104" s="17" t="e">
        <f>B104/(No_in_Audit-COUNTIF(Table2[Where did your appointment take place?],"Not answered"))*100</f>
        <v>#DIV/0!</v>
      </c>
    </row>
    <row r="105" spans="1:4" ht="15" customHeight="1">
      <c r="A105" s="15" t="str">
        <f>'Validation List'!I8</f>
        <v>Patient's Home</v>
      </c>
      <c r="B105" s="16">
        <f>COUNTIF(Table2[Where did your appointment take place?],A105)</f>
        <v>0</v>
      </c>
      <c r="C105" s="17" t="e">
        <f t="shared" si="12"/>
        <v>#DIV/0!</v>
      </c>
      <c r="D105" s="17" t="e">
        <f>B105/(No_in_Audit-COUNTIF(Table2[Where did your appointment take place?],"Not answered"))*100</f>
        <v>#DIV/0!</v>
      </c>
    </row>
    <row r="106" spans="1:4" ht="15" customHeight="1">
      <c r="A106" s="15" t="str">
        <f>'Validation List'!I9</f>
        <v>Another location</v>
      </c>
      <c r="B106" s="16">
        <f>COUNTIF(Table2[Where did your appointment take place?],A106)</f>
        <v>0</v>
      </c>
      <c r="C106" s="17" t="e">
        <f t="shared" ref="C106" si="13">B106/No_in_Audit*100</f>
        <v>#DIV/0!</v>
      </c>
      <c r="D106" s="17" t="e">
        <f>B106/(No_in_Audit-COUNTIF(Table2[Where did your appointment take place?],"Not answered"))*100</f>
        <v>#DIV/0!</v>
      </c>
    </row>
    <row r="107" spans="1:4">
      <c r="A107" s="15" t="str">
        <f>'Validation List'!I15</f>
        <v>Not answered</v>
      </c>
      <c r="B107" s="16">
        <f>COUNTIF(Table2[Where did your appointment take place?],A107)</f>
        <v>0</v>
      </c>
      <c r="C107" s="17" t="e">
        <f t="shared" si="12"/>
        <v>#DIV/0!</v>
      </c>
      <c r="D107" s="17"/>
    </row>
    <row r="108" spans="1:4">
      <c r="A108" s="15" t="s">
        <v>39</v>
      </c>
      <c r="B108" s="16">
        <f>SUM(B103:B107)</f>
        <v>0</v>
      </c>
      <c r="C108" s="17" t="e">
        <f>SUM(C103:C107)</f>
        <v>#DIV/0!</v>
      </c>
      <c r="D108" s="17" t="e">
        <f>SUM(D103:D107)</f>
        <v>#DIV/0!</v>
      </c>
    </row>
    <row r="111" spans="1:4">
      <c r="A111" s="47" t="str">
        <f>'Validation List'!J3</f>
        <v>Suitability of appointment time</v>
      </c>
      <c r="B111" s="48"/>
      <c r="C111" s="48"/>
      <c r="D111" s="49"/>
    </row>
    <row r="112" spans="1:4">
      <c r="A112" s="15"/>
      <c r="B112" s="16" t="s">
        <v>37</v>
      </c>
      <c r="C112" s="17" t="s">
        <v>38</v>
      </c>
      <c r="D112" s="17" t="s">
        <v>42</v>
      </c>
    </row>
    <row r="113" spans="1:4" ht="45">
      <c r="A113" s="15" t="str">
        <f>'Validation List'!J6</f>
        <v>The appointment time given to me was most suitable.</v>
      </c>
      <c r="B113" s="16">
        <f>COUNTIF(Table2[Tell us about the suitability of your appointment time?],A113)</f>
        <v>0</v>
      </c>
      <c r="C113" s="17" t="e">
        <f t="shared" ref="C113:C118" si="14">B113/No_in_Audit*100</f>
        <v>#DIV/0!</v>
      </c>
      <c r="D113" s="17" t="e">
        <f>B113/(No_in_Audit-COUNTIF(Table2[Tell us about the suitability of your appointment time?],"Not answered"))*100</f>
        <v>#DIV/0!</v>
      </c>
    </row>
    <row r="114" spans="1:4" ht="45">
      <c r="A114" s="15" t="str">
        <f>'Validation List'!J7</f>
        <v>I would have preferred an appointment time before 9am.</v>
      </c>
      <c r="B114" s="16">
        <f>COUNTIF(Table2[Tell us about the suitability of your appointment time?],A114)</f>
        <v>0</v>
      </c>
      <c r="C114" s="17" t="e">
        <f t="shared" si="14"/>
        <v>#DIV/0!</v>
      </c>
      <c r="D114" s="17" t="e">
        <f>B114/(No_in_Audit-COUNTIF(Table2[Tell us about the suitability of your appointment time?],"Not answered"))*100</f>
        <v>#DIV/0!</v>
      </c>
    </row>
    <row r="115" spans="1:4" ht="45">
      <c r="A115" s="15" t="str">
        <f>'Validation List'!J8</f>
        <v>I would have preferred an appointment time from 12pm-1pm.</v>
      </c>
      <c r="B115" s="16">
        <f>COUNTIF(Table2[Tell us about the suitability of your appointment time?],A115)</f>
        <v>0</v>
      </c>
      <c r="C115" s="17" t="e">
        <f t="shared" si="14"/>
        <v>#DIV/0!</v>
      </c>
      <c r="D115" s="17" t="e">
        <f>B115/(No_in_Audit-COUNTIF(Table2[Tell us about the suitability of your appointment time?],"Not answered"))*100</f>
        <v>#DIV/0!</v>
      </c>
    </row>
    <row r="116" spans="1:4" ht="45">
      <c r="A116" s="15" t="str">
        <f>'Validation List'!J9</f>
        <v>I would have preferred an appointment time from 1pm-2pm.</v>
      </c>
      <c r="B116" s="16">
        <f>COUNTIF(Table2[Tell us about the suitability of your appointment time?],A116)</f>
        <v>0</v>
      </c>
      <c r="C116" s="17" t="e">
        <f t="shared" si="14"/>
        <v>#DIV/0!</v>
      </c>
      <c r="D116" s="17" t="e">
        <f>B116/(No_in_Audit-COUNTIF(Table2[Tell us about the suitability of your appointment time?],"Not answered"))*100</f>
        <v>#DIV/0!</v>
      </c>
    </row>
    <row r="117" spans="1:4" ht="45">
      <c r="A117" s="15" t="str">
        <f>'Validation List'!J10</f>
        <v>I would have preferred an appointment time after 5pm.</v>
      </c>
      <c r="B117" s="16">
        <f>COUNTIF(Table2[Tell us about the suitability of your appointment time?],A117)</f>
        <v>0</v>
      </c>
      <c r="C117" s="17" t="e">
        <f t="shared" si="14"/>
        <v>#DIV/0!</v>
      </c>
      <c r="D117" s="17" t="e">
        <f>B117/(No_in_Audit-COUNTIF(Table2[Tell us about the suitability of your appointment time?],"Not answered"))*100</f>
        <v>#DIV/0!</v>
      </c>
    </row>
    <row r="118" spans="1:4">
      <c r="A118" s="15" t="str">
        <f>'Validation List'!J15</f>
        <v>Not answered</v>
      </c>
      <c r="B118" s="16">
        <f>COUNTIF(Table2[Tell us about the suitability of your appointment time?],A118)</f>
        <v>0</v>
      </c>
      <c r="C118" s="17" t="e">
        <f t="shared" si="14"/>
        <v>#DIV/0!</v>
      </c>
      <c r="D118" s="17"/>
    </row>
    <row r="119" spans="1:4">
      <c r="A119" s="15" t="s">
        <v>39</v>
      </c>
      <c r="B119" s="16">
        <f>SUM(B113:B118)</f>
        <v>0</v>
      </c>
      <c r="C119" s="17" t="e">
        <f>SUM(C113:C118)</f>
        <v>#DIV/0!</v>
      </c>
      <c r="D119" s="17" t="e">
        <f>SUM(D113:D118)</f>
        <v>#DIV/0!</v>
      </c>
    </row>
    <row r="122" spans="1:4" ht="27" customHeight="1">
      <c r="A122" s="47" t="str">
        <f>'Validation List'!K3</f>
        <v>Ease of access and use of the building during visit</v>
      </c>
      <c r="B122" s="48"/>
      <c r="C122" s="48"/>
      <c r="D122" s="49"/>
    </row>
    <row r="123" spans="1:4">
      <c r="A123" s="15"/>
      <c r="B123" s="16" t="s">
        <v>37</v>
      </c>
      <c r="C123" s="17" t="s">
        <v>38</v>
      </c>
      <c r="D123" s="17" t="s">
        <v>42</v>
      </c>
    </row>
    <row r="124" spans="1:4">
      <c r="A124" s="15" t="str">
        <f>'Validation List'!K6</f>
        <v>Very easy</v>
      </c>
      <c r="B124" s="16">
        <f>COUNTIF(Table2[How easy was it for you to access and use the building during your visit?],A124)</f>
        <v>0</v>
      </c>
      <c r="C124" s="17" t="e">
        <f t="shared" ref="C124:C129" si="15">B124/No_in_Audit*100</f>
        <v>#DIV/0!</v>
      </c>
      <c r="D124" s="17" t="e">
        <f>B124/(No_in_Audit-COUNTIF(Table2[How easy was it for you to access and use the building during your visit?],"Not answered")-COUNTIF(Table2[How easy was it for you to access and use the building during your visit?],"N/A"))*100</f>
        <v>#DIV/0!</v>
      </c>
    </row>
    <row r="125" spans="1:4">
      <c r="A125" s="15" t="str">
        <f>'Validation List'!K7</f>
        <v>Easy</v>
      </c>
      <c r="B125" s="16">
        <f>COUNTIF(Table2[How easy was it for you to access and use the building during your visit?],A125)</f>
        <v>0</v>
      </c>
      <c r="C125" s="17" t="e">
        <f t="shared" si="15"/>
        <v>#DIV/0!</v>
      </c>
      <c r="D125" s="17" t="e">
        <f>B125/(No_in_Audit-COUNTIF(Table2[How easy was it for you to access and use the building during your visit?],"Not answered")-COUNTIF(Table2[How easy was it for you to access and use the building during your visit?],"N/A"))*100</f>
        <v>#DIV/0!</v>
      </c>
    </row>
    <row r="126" spans="1:4">
      <c r="A126" s="15" t="str">
        <f>'Validation List'!K8</f>
        <v>Difficult</v>
      </c>
      <c r="B126" s="16">
        <f>COUNTIF(Table2[How easy was it for you to access and use the building during your visit?],A126)</f>
        <v>0</v>
      </c>
      <c r="C126" s="17" t="e">
        <f t="shared" si="15"/>
        <v>#DIV/0!</v>
      </c>
      <c r="D126" s="17" t="e">
        <f>B126/(No_in_Audit-COUNTIF(Table2[How easy was it for you to access and use the building during your visit?],"Not answered")-COUNTIF(Table2[How easy was it for you to access and use the building during your visit?],"N/A"))*100</f>
        <v>#DIV/0!</v>
      </c>
    </row>
    <row r="127" spans="1:4">
      <c r="A127" s="15" t="str">
        <f>'Validation List'!K9</f>
        <v>Very difficult</v>
      </c>
      <c r="B127" s="16">
        <f>COUNTIF(Table2[How easy was it for you to access and use the building during your visit?],A127)</f>
        <v>0</v>
      </c>
      <c r="C127" s="17" t="e">
        <f t="shared" si="15"/>
        <v>#DIV/0!</v>
      </c>
      <c r="D127" s="17" t="e">
        <f>B127/(No_in_Audit-COUNTIF(Table2[How easy was it for you to access and use the building during your visit?],"Not answered")-COUNTIF(Table2[How easy was it for you to access and use the building during your visit?],"N/A"))*100</f>
        <v>#DIV/0!</v>
      </c>
    </row>
    <row r="128" spans="1:4">
      <c r="A128" s="15" t="str">
        <f>'Validation List'!K10</f>
        <v>N/A</v>
      </c>
      <c r="B128" s="16">
        <f>COUNTIF(Table2[How easy was it for you to access and use the building during your visit?],A128)</f>
        <v>0</v>
      </c>
      <c r="C128" s="17" t="e">
        <f t="shared" ref="C128" si="16">B128/No_in_Audit*100</f>
        <v>#DIV/0!</v>
      </c>
      <c r="D128" s="17"/>
    </row>
    <row r="129" spans="1:4">
      <c r="A129" s="15" t="str">
        <f>'Validation List'!K15</f>
        <v>Not answered</v>
      </c>
      <c r="B129" s="16">
        <f>COUNTIF(Table2[How easy was it for you to access and use the building during your visit?],A129)</f>
        <v>0</v>
      </c>
      <c r="C129" s="17" t="e">
        <f t="shared" si="15"/>
        <v>#DIV/0!</v>
      </c>
      <c r="D129" s="17"/>
    </row>
    <row r="130" spans="1:4">
      <c r="A130" s="15" t="s">
        <v>39</v>
      </c>
      <c r="B130" s="16">
        <f>SUM(B124:B129)</f>
        <v>0</v>
      </c>
      <c r="C130" s="17" t="e">
        <f>SUM(C124:C129)</f>
        <v>#DIV/0!</v>
      </c>
      <c r="D130" s="17" t="e">
        <f>SUM(D124:D129)</f>
        <v>#DIV/0!</v>
      </c>
    </row>
    <row r="133" spans="1:4">
      <c r="A133" s="50" t="str">
        <f>'Validation List'!L3</f>
        <v>Buildings and facilities cleanliness and tidiness</v>
      </c>
      <c r="B133" s="50"/>
      <c r="C133" s="50"/>
      <c r="D133" s="51"/>
    </row>
    <row r="134" spans="1:4">
      <c r="A134" s="15"/>
      <c r="B134" s="16" t="s">
        <v>37</v>
      </c>
      <c r="C134" s="17" t="s">
        <v>38</v>
      </c>
      <c r="D134" s="17" t="s">
        <v>42</v>
      </c>
    </row>
    <row r="135" spans="1:4">
      <c r="A135" s="15" t="str">
        <f>'Validation List'!L6</f>
        <v>Yes</v>
      </c>
      <c r="B135" s="16">
        <f>COUNTIF(Table2[Were the buildings and facilities clean and tidy?],A135)</f>
        <v>0</v>
      </c>
      <c r="C135" s="17" t="e">
        <f t="shared" ref="C135:C138" si="17">B135/No_in_Audit*100</f>
        <v>#DIV/0!</v>
      </c>
      <c r="D135" s="17" t="e">
        <f>B135/(No_in_Audit-COUNTIF(Table2[Were the buildings and facilities clean and tidy?],"Not answered"))*100</f>
        <v>#DIV/0!</v>
      </c>
    </row>
    <row r="136" spans="1:4">
      <c r="A136" s="15" t="str">
        <f>'Validation List'!L7</f>
        <v>No</v>
      </c>
      <c r="B136" s="16">
        <f>COUNTIF(Table2[Were the buildings and facilities clean and tidy?],A136)</f>
        <v>0</v>
      </c>
      <c r="C136" s="17" t="e">
        <f t="shared" si="17"/>
        <v>#DIV/0!</v>
      </c>
      <c r="D136" s="17" t="e">
        <f>B136/(No_in_Audit-COUNTIF(Table2[Were the buildings and facilities clean and tidy?],"Not answered"))*100</f>
        <v>#DIV/0!</v>
      </c>
    </row>
    <row r="137" spans="1:4">
      <c r="A137" s="15" t="str">
        <f>'Validation List'!L8</f>
        <v>N/A</v>
      </c>
      <c r="B137" s="16">
        <f>COUNTIF(Table2[Were the buildings and facilities clean and tidy?],A137)</f>
        <v>0</v>
      </c>
      <c r="C137" s="17" t="e">
        <f t="shared" ref="C137" si="18">B137/No_in_Audit*100</f>
        <v>#DIV/0!</v>
      </c>
      <c r="D137" s="17" t="e">
        <f>B137/(No_in_Audit-COUNTIF(Table2[Were the buildings and facilities clean and tidy?],"Not answered"))*100</f>
        <v>#DIV/0!</v>
      </c>
    </row>
    <row r="138" spans="1:4">
      <c r="A138" s="15" t="str">
        <f>'Validation List'!L15</f>
        <v>Not answered</v>
      </c>
      <c r="B138" s="16">
        <f>COUNTIF(Table2[Were the buildings and facilities clean and tidy?],A138)</f>
        <v>0</v>
      </c>
      <c r="C138" s="17" t="e">
        <f t="shared" si="17"/>
        <v>#DIV/0!</v>
      </c>
      <c r="D138" s="17"/>
    </row>
    <row r="139" spans="1:4">
      <c r="A139" s="15" t="s">
        <v>39</v>
      </c>
      <c r="B139" s="16">
        <f>SUM(B135:B138)</f>
        <v>0</v>
      </c>
      <c r="C139" s="17" t="e">
        <f>SUM(C135:C138)</f>
        <v>#DIV/0!</v>
      </c>
      <c r="D139" s="17" t="e">
        <f>SUM(D135:D138)</f>
        <v>#DIV/0!</v>
      </c>
    </row>
    <row r="142" spans="1:4" ht="26.25" customHeight="1">
      <c r="A142" s="50" t="str">
        <f>'Validation List'!M3</f>
        <v>Time waiting to see the healthcare professional on day of survey</v>
      </c>
      <c r="B142" s="50"/>
      <c r="C142" s="50"/>
      <c r="D142" s="51"/>
    </row>
    <row r="143" spans="1:4">
      <c r="A143" s="15"/>
      <c r="B143" s="16" t="s">
        <v>37</v>
      </c>
      <c r="C143" s="17" t="s">
        <v>38</v>
      </c>
      <c r="D143" s="17" t="s">
        <v>42</v>
      </c>
    </row>
    <row r="144" spans="1:4">
      <c r="A144" s="15" t="str">
        <f>'Validation List'!M6</f>
        <v>Less than 15 minutes</v>
      </c>
      <c r="B144" s="16">
        <f>COUNTIF(Table2[How long did you spend waiting to see the healthcare professional today?],A144)</f>
        <v>0</v>
      </c>
      <c r="C144" s="17" t="e">
        <f t="shared" ref="C144:C148" si="19">B144/No_in_Audit*100</f>
        <v>#DIV/0!</v>
      </c>
      <c r="D144" s="17" t="e">
        <f>B144/(No_in_Audit-COUNTIF(Table2[Where did your appointment take place?],"Not answered"))*100</f>
        <v>#DIV/0!</v>
      </c>
    </row>
    <row r="145" spans="1:4">
      <c r="A145" s="15" t="str">
        <f>'Validation List'!M7</f>
        <v>15 to 30 minutes</v>
      </c>
      <c r="B145" s="16">
        <f>COUNTIF(Table2[How long did you spend waiting to see the healthcare professional today?],A145)</f>
        <v>0</v>
      </c>
      <c r="C145" s="17" t="e">
        <f t="shared" si="19"/>
        <v>#DIV/0!</v>
      </c>
      <c r="D145" s="17" t="e">
        <f>B145/(No_in_Audit-COUNTIF(Table2[Where did your appointment take place?],"Not answered"))*100</f>
        <v>#DIV/0!</v>
      </c>
    </row>
    <row r="146" spans="1:4">
      <c r="A146" s="15" t="str">
        <f>'Validation List'!M8</f>
        <v>31 to 45 minutes</v>
      </c>
      <c r="B146" s="16">
        <f>COUNTIF(Table2[How long did you spend waiting to see the healthcare professional today?],A146)</f>
        <v>0</v>
      </c>
      <c r="C146" s="17" t="e">
        <f t="shared" si="19"/>
        <v>#DIV/0!</v>
      </c>
      <c r="D146" s="17" t="e">
        <f>B146/(No_in_Audit-COUNTIF(Table2[Where did your appointment take place?],"Not answered"))*100</f>
        <v>#DIV/0!</v>
      </c>
    </row>
    <row r="147" spans="1:4">
      <c r="A147" s="15" t="str">
        <f>'Validation List'!M9</f>
        <v>Over 45 minutes</v>
      </c>
      <c r="B147" s="16">
        <f>COUNTIF(Table2[How long did you spend waiting to see the healthcare professional today?],A147)</f>
        <v>0</v>
      </c>
      <c r="C147" s="17" t="e">
        <f t="shared" si="19"/>
        <v>#DIV/0!</v>
      </c>
      <c r="D147" s="17" t="e">
        <f>B147/(No_in_Audit-COUNTIF(Table2[Where did your appointment take place?],"Not answered"))*100</f>
        <v>#DIV/0!</v>
      </c>
    </row>
    <row r="148" spans="1:4">
      <c r="A148" s="15" t="str">
        <f>'Validation List'!M15</f>
        <v>Not answered</v>
      </c>
      <c r="B148" s="16">
        <f>COUNTIF(Table2[How long did you spend waiting to see the healthcare professional today?],A148)</f>
        <v>0</v>
      </c>
      <c r="C148" s="17" t="e">
        <f t="shared" si="19"/>
        <v>#DIV/0!</v>
      </c>
      <c r="D148" s="17"/>
    </row>
    <row r="149" spans="1:4">
      <c r="A149" s="15" t="s">
        <v>39</v>
      </c>
      <c r="B149" s="16">
        <f>SUM(B144:B148)</f>
        <v>0</v>
      </c>
      <c r="C149" s="17" t="e">
        <f>SUM(C144:C148)</f>
        <v>#DIV/0!</v>
      </c>
      <c r="D149" s="17" t="e">
        <f>SUM(D144:D148)</f>
        <v>#DIV/0!</v>
      </c>
    </row>
    <row r="152" spans="1:4">
      <c r="A152" s="50" t="str">
        <f>'Validation List'!N3</f>
        <v>Healthcare professional washed or cleaned their hands prior to patient contact</v>
      </c>
      <c r="B152" s="50"/>
      <c r="C152" s="50"/>
      <c r="D152" s="51"/>
    </row>
    <row r="153" spans="1:4">
      <c r="A153" s="15"/>
      <c r="B153" s="16" t="s">
        <v>37</v>
      </c>
      <c r="C153" s="17" t="s">
        <v>38</v>
      </c>
      <c r="D153" s="17" t="s">
        <v>42</v>
      </c>
    </row>
    <row r="154" spans="1:4">
      <c r="A154" s="15" t="str">
        <f>'Validation List'!N6</f>
        <v>Yes</v>
      </c>
      <c r="B154" s="16">
        <f>COUNTIF(Table2[Did the healthcare professional wash or clean their hands when coming into contact with you?],A154)</f>
        <v>0</v>
      </c>
      <c r="C154" s="17" t="e">
        <f>B154/No_in_Audit*100</f>
        <v>#DIV/0!</v>
      </c>
      <c r="D154" s="17" t="e">
        <f>B154/(No_in_Audit-COUNTIF(Table2[Did the healthcare professional wash or clean their hands when coming into contact with you?],"Not answered"))*100</f>
        <v>#DIV/0!</v>
      </c>
    </row>
    <row r="155" spans="1:4">
      <c r="A155" s="15" t="str">
        <f>'Validation List'!N7</f>
        <v>No</v>
      </c>
      <c r="B155" s="16">
        <f>COUNTIF(Table2[Did the healthcare professional wash or clean their hands when coming into contact with you?],A155)</f>
        <v>0</v>
      </c>
      <c r="C155" s="17" t="e">
        <f t="shared" ref="C155:C157" si="20">B155/No_in_Audit*100</f>
        <v>#DIV/0!</v>
      </c>
      <c r="D155" s="17" t="e">
        <f>B155/(No_in_Audit-COUNTIF(Table2[Did the healthcare professional wash or clean their hands when coming into contact with you?],"Not answered"))*100</f>
        <v>#DIV/0!</v>
      </c>
    </row>
    <row r="156" spans="1:4">
      <c r="A156" s="15" t="str">
        <f>'Validation List'!N8</f>
        <v>Can't recall</v>
      </c>
      <c r="B156" s="16">
        <f>COUNTIF(Table2[Did the healthcare professional wash or clean their hands when coming into contact with you?],A156)</f>
        <v>0</v>
      </c>
      <c r="C156" s="17" t="e">
        <f t="shared" si="20"/>
        <v>#DIV/0!</v>
      </c>
      <c r="D156" s="17" t="e">
        <f>B156/(No_in_Audit-COUNTIF(Table2[Did the healthcare professional wash or clean their hands when coming into contact with you?],"Not answered"))*100</f>
        <v>#DIV/0!</v>
      </c>
    </row>
    <row r="157" spans="1:4">
      <c r="A157" s="15" t="str">
        <f>'Validation List'!N15</f>
        <v>Not answered</v>
      </c>
      <c r="B157" s="16">
        <f>COUNTIF(Table2[Did the healthcare professional wash or clean their hands when coming into contact with you?],A157)</f>
        <v>0</v>
      </c>
      <c r="C157" s="17" t="e">
        <f t="shared" si="20"/>
        <v>#DIV/0!</v>
      </c>
      <c r="D157" s="17"/>
    </row>
    <row r="158" spans="1:4">
      <c r="A158" s="15" t="s">
        <v>39</v>
      </c>
      <c r="B158" s="16">
        <f>SUM(B154:B157)</f>
        <v>0</v>
      </c>
      <c r="C158" s="17" t="e">
        <f>SUM(C154:C157)</f>
        <v>#DIV/0!</v>
      </c>
      <c r="D158" s="17" t="e">
        <f>SUM(D154:D157)</f>
        <v>#DIV/0!</v>
      </c>
    </row>
    <row r="161" spans="1:4">
      <c r="A161" s="50" t="str">
        <f>'Validation List'!O3</f>
        <v>Healthcare professional introduced themselves to patient</v>
      </c>
      <c r="B161" s="50"/>
      <c r="C161" s="50"/>
      <c r="D161" s="51"/>
    </row>
    <row r="162" spans="1:4">
      <c r="A162" s="15"/>
      <c r="B162" s="16" t="s">
        <v>37</v>
      </c>
      <c r="C162" s="17" t="s">
        <v>38</v>
      </c>
      <c r="D162" s="17" t="s">
        <v>42</v>
      </c>
    </row>
    <row r="163" spans="1:4">
      <c r="A163" s="15" t="str">
        <f>'Validation List'!O6</f>
        <v>Yes</v>
      </c>
      <c r="B163" s="16">
        <f>COUNTIF(Table2[Did the healthcare professional introduce themselves to you?],A163)</f>
        <v>0</v>
      </c>
      <c r="C163" s="17" t="e">
        <f t="shared" ref="C163:C166" si="21">B163/No_in_Audit*100</f>
        <v>#DIV/0!</v>
      </c>
      <c r="D163" s="17" t="e">
        <f>B163/(No_in_Audit-COUNTIF(Table2[Did the healthcare professional introduce themselves to you?],"Not answered"))*100</f>
        <v>#DIV/0!</v>
      </c>
    </row>
    <row r="164" spans="1:4">
      <c r="A164" s="15" t="str">
        <f>'Validation List'!O7</f>
        <v>No</v>
      </c>
      <c r="B164" s="16">
        <f>COUNTIF(Table2[Did the healthcare professional introduce themselves to you?],A164)</f>
        <v>0</v>
      </c>
      <c r="C164" s="17" t="e">
        <f t="shared" si="21"/>
        <v>#DIV/0!</v>
      </c>
      <c r="D164" s="17" t="e">
        <f>B164/(No_in_Audit-COUNTIF(Table2[Did the healthcare professional introduce themselves to you?],"Not answered"))*100</f>
        <v>#DIV/0!</v>
      </c>
    </row>
    <row r="165" spans="1:4">
      <c r="A165" s="15" t="str">
        <f>'Validation List'!O8</f>
        <v>Already known to me</v>
      </c>
      <c r="B165" s="16">
        <f>COUNTIF(Table2[Did the healthcare professional introduce themselves to you?],A165)</f>
        <v>0</v>
      </c>
      <c r="C165" s="17" t="e">
        <f t="shared" si="21"/>
        <v>#DIV/0!</v>
      </c>
      <c r="D165" s="17" t="e">
        <f>B165/(No_in_Audit-COUNTIF(Table2[Did the healthcare professional introduce themselves to you?],"Not answered"))*100</f>
        <v>#DIV/0!</v>
      </c>
    </row>
    <row r="166" spans="1:4">
      <c r="A166" s="15" t="str">
        <f>'Validation List'!O15</f>
        <v>Not answered</v>
      </c>
      <c r="B166" s="16">
        <f>COUNTIF(Table2[Did the healthcare professional introduce themselves to you?],A166)</f>
        <v>0</v>
      </c>
      <c r="C166" s="17" t="e">
        <f t="shared" si="21"/>
        <v>#DIV/0!</v>
      </c>
      <c r="D166" s="17"/>
    </row>
    <row r="167" spans="1:4">
      <c r="A167" s="15" t="s">
        <v>39</v>
      </c>
      <c r="B167" s="16">
        <f>SUM(B163:B166)</f>
        <v>0</v>
      </c>
      <c r="C167" s="17" t="e">
        <f>SUM(C163:C166)</f>
        <v>#DIV/0!</v>
      </c>
      <c r="D167" s="17" t="e">
        <f>SUM(D163:D166)</f>
        <v>#DIV/0!</v>
      </c>
    </row>
    <row r="170" spans="1:4" ht="27" customHeight="1">
      <c r="A170" s="50" t="str">
        <f>'Validation List'!P3</f>
        <v>Patient felt treated with kindness and respect during visit</v>
      </c>
      <c r="B170" s="50"/>
      <c r="C170" s="50"/>
      <c r="D170" s="51"/>
    </row>
    <row r="171" spans="1:4">
      <c r="A171" s="15"/>
      <c r="B171" s="16" t="s">
        <v>37</v>
      </c>
      <c r="C171" s="17" t="s">
        <v>38</v>
      </c>
      <c r="D171" s="17" t="s">
        <v>42</v>
      </c>
    </row>
    <row r="172" spans="1:4">
      <c r="A172" s="15" t="str">
        <f>'Validation List'!P6</f>
        <v>Yes</v>
      </c>
      <c r="B172" s="16">
        <f>COUNTIF(Table2[Were you treated with kindness and respect during your visit?],A172)</f>
        <v>0</v>
      </c>
      <c r="C172" s="17" t="e">
        <f t="shared" ref="C172:C174" si="22">B172/No_in_Audit*100</f>
        <v>#DIV/0!</v>
      </c>
      <c r="D172" s="17" t="e">
        <f>B172/(No_in_Audit-COUNTIF(Table2[Were you treated with kindness and respect during your visit?],"Not answered"))*100</f>
        <v>#DIV/0!</v>
      </c>
    </row>
    <row r="173" spans="1:4">
      <c r="A173" s="15" t="str">
        <f>'Validation List'!P7</f>
        <v>No</v>
      </c>
      <c r="B173" s="16">
        <f>COUNTIF(Table2[Were you treated with kindness and respect during your visit?],A173)</f>
        <v>0</v>
      </c>
      <c r="C173" s="17" t="e">
        <f t="shared" si="22"/>
        <v>#DIV/0!</v>
      </c>
      <c r="D173" s="17" t="e">
        <f>B173/(No_in_Audit-COUNTIF(Table2[Were you treated with kindness and respect during your visit?],"Not answered"))*100</f>
        <v>#DIV/0!</v>
      </c>
    </row>
    <row r="174" spans="1:4">
      <c r="A174" s="15" t="str">
        <f>'Validation List'!P15</f>
        <v>Not answered</v>
      </c>
      <c r="B174" s="16">
        <f>COUNTIF(Table2[Were you treated with kindness and respect during your visit?],A174)</f>
        <v>0</v>
      </c>
      <c r="C174" s="17" t="e">
        <f t="shared" si="22"/>
        <v>#DIV/0!</v>
      </c>
      <c r="D174" s="17"/>
    </row>
    <row r="175" spans="1:4">
      <c r="A175" s="15" t="s">
        <v>39</v>
      </c>
      <c r="B175" s="16">
        <f>SUM(B172:B174)</f>
        <v>0</v>
      </c>
      <c r="C175" s="17" t="e">
        <f>SUM(C172:C174)</f>
        <v>#DIV/0!</v>
      </c>
      <c r="D175" s="17" t="e">
        <f>SUM(D172:D174)</f>
        <v>#DIV/0!</v>
      </c>
    </row>
    <row r="178" spans="1:4" ht="20.25" customHeight="1">
      <c r="A178" s="47" t="str">
        <f>'Validation List'!Q3</f>
        <v>Satisfaction with the level of privacy provided during appointment</v>
      </c>
      <c r="B178" s="48"/>
      <c r="C178" s="48"/>
      <c r="D178" s="49"/>
    </row>
    <row r="179" spans="1:4">
      <c r="A179" s="15"/>
      <c r="B179" s="16" t="s">
        <v>37</v>
      </c>
      <c r="C179" s="17" t="s">
        <v>38</v>
      </c>
      <c r="D179" s="17" t="s">
        <v>42</v>
      </c>
    </row>
    <row r="180" spans="1:4">
      <c r="A180" s="15" t="str">
        <f>'Validation List'!Q6</f>
        <v>Yes</v>
      </c>
      <c r="B180" s="16">
        <f>COUNTIF(Table2[Were you satisfied with the level of privacy provided to you during your appointment?],A180)</f>
        <v>0</v>
      </c>
      <c r="C180" s="17" t="e">
        <f t="shared" ref="C180:C182" si="23">B180/No_in_Audit*100</f>
        <v>#DIV/0!</v>
      </c>
      <c r="D180" s="17" t="e">
        <f>B180/(No_in_Audit-COUNTIF(Table2[Were you satisfied with the level of privacy provided to you during your appointment?],"Not answered"))*100</f>
        <v>#DIV/0!</v>
      </c>
    </row>
    <row r="181" spans="1:4">
      <c r="A181" s="15" t="str">
        <f>'Validation List'!Q7</f>
        <v>No</v>
      </c>
      <c r="B181" s="16">
        <f>COUNTIF(Table2[Were you satisfied with the level of privacy provided to you during your appointment?],A181)</f>
        <v>0</v>
      </c>
      <c r="C181" s="17" t="e">
        <f t="shared" si="23"/>
        <v>#DIV/0!</v>
      </c>
      <c r="D181" s="17" t="e">
        <f>B181/(No_in_Audit-COUNTIF(Table2[Were you satisfied with the level of privacy provided to you during your appointment?],"Not answered"))*100</f>
        <v>#DIV/0!</v>
      </c>
    </row>
    <row r="182" spans="1:4">
      <c r="A182" s="15" t="str">
        <f>'Validation List'!Q15</f>
        <v>Not answered</v>
      </c>
      <c r="B182" s="16">
        <f>COUNTIF(Table2[Were you satisfied with the level of privacy provided to you during your appointment?],A182)</f>
        <v>0</v>
      </c>
      <c r="C182" s="17" t="e">
        <f t="shared" si="23"/>
        <v>#DIV/0!</v>
      </c>
      <c r="D182" s="17"/>
    </row>
    <row r="183" spans="1:4">
      <c r="A183" s="15" t="s">
        <v>39</v>
      </c>
      <c r="B183" s="16">
        <f>SUM(B180:B182)</f>
        <v>0</v>
      </c>
      <c r="C183" s="17" t="e">
        <f>SUM(C180:C182)</f>
        <v>#DIV/0!</v>
      </c>
      <c r="D183" s="17" t="e">
        <f>SUM(D180:D182)</f>
        <v>#DIV/0!</v>
      </c>
    </row>
    <row r="186" spans="1:4" ht="26.25" customHeight="1">
      <c r="A186" s="50" t="str">
        <f>'Validation List'!R3</f>
        <v>It was explained that, if relevant to overall care, patients information may be shared with other PCT members
about you with other members of the Primary Care Team?</v>
      </c>
      <c r="B186" s="50"/>
      <c r="C186" s="50"/>
      <c r="D186" s="51"/>
    </row>
    <row r="187" spans="1:4">
      <c r="A187" s="15"/>
      <c r="B187" s="16" t="s">
        <v>37</v>
      </c>
      <c r="C187" s="17" t="s">
        <v>38</v>
      </c>
      <c r="D187" s="17" t="s">
        <v>42</v>
      </c>
    </row>
    <row r="188" spans="1:4">
      <c r="A188" s="15" t="str">
        <f>'Validation List'!R6</f>
        <v>Yes</v>
      </c>
      <c r="B188" s="16">
        <f>COUNTIF(Table2[Was it explained to you that, if relevant to your overall care, we may need to share information
about you with other members of the Primary Care Team?],A188)</f>
        <v>0</v>
      </c>
      <c r="C188" s="17" t="e">
        <f t="shared" ref="C188:C191" si="24">B188/No_in_Audit*100</f>
        <v>#DIV/0!</v>
      </c>
      <c r="D188" s="17" t="e">
        <f>B188/(No_in_Audit-COUNTIF(Table2[Was it explained to you that, if relevant to your overall care, we may need to share information
about you with other members of the Primary Care Team?],"Not answered"))*100</f>
        <v>#DIV/0!</v>
      </c>
    </row>
    <row r="189" spans="1:4">
      <c r="A189" s="15" t="str">
        <f>'Validation List'!R7</f>
        <v>No</v>
      </c>
      <c r="B189" s="16">
        <f>COUNTIF(Table2[Was it explained to you that, if relevant to your overall care, we may need to share information
about you with other members of the Primary Care Team?],A189)</f>
        <v>0</v>
      </c>
      <c r="C189" s="17" t="e">
        <f t="shared" si="24"/>
        <v>#DIV/0!</v>
      </c>
      <c r="D189" s="17" t="e">
        <f>B189/(No_in_Audit-COUNTIF(Table2[Was it explained to you that, if relevant to your overall care, we may need to share information
about you with other members of the Primary Care Team?],"Not answered"))*100</f>
        <v>#DIV/0!</v>
      </c>
    </row>
    <row r="190" spans="1:4">
      <c r="A190" s="15" t="str">
        <f>'Validation List'!R8</f>
        <v>Not sure</v>
      </c>
      <c r="B190" s="16">
        <f>COUNTIF(Table2[Was it explained to you that, if relevant to your overall care, we may need to share information
about you with other members of the Primary Care Team?],A190)</f>
        <v>0</v>
      </c>
      <c r="C190" s="17" t="e">
        <f t="shared" si="24"/>
        <v>#DIV/0!</v>
      </c>
      <c r="D190" s="17" t="e">
        <f>B190/(No_in_Audit-COUNTIF(Table2[Was it explained to you that, if relevant to your overall care, we may need to share information
about you with other members of the Primary Care Team?],"Not answered"))*100</f>
        <v>#DIV/0!</v>
      </c>
    </row>
    <row r="191" spans="1:4">
      <c r="A191" s="15" t="str">
        <f>'Validation List'!R15</f>
        <v>Not answered</v>
      </c>
      <c r="B191" s="16">
        <f>COUNTIF(Table2[Was it explained to you that, if relevant to your overall care, we may need to share information
about you with other members of the Primary Care Team?],A191)</f>
        <v>0</v>
      </c>
      <c r="C191" s="17" t="e">
        <f t="shared" si="24"/>
        <v>#DIV/0!</v>
      </c>
      <c r="D191" s="17"/>
    </row>
    <row r="192" spans="1:4">
      <c r="A192" s="15" t="s">
        <v>39</v>
      </c>
      <c r="B192" s="16">
        <f>SUM(B188:B191)</f>
        <v>0</v>
      </c>
      <c r="C192" s="17" t="e">
        <f>SUM(C188:C191)</f>
        <v>#DIV/0!</v>
      </c>
      <c r="D192" s="17" t="e">
        <f>SUM(D188:D191)</f>
        <v>#DIV/0!</v>
      </c>
    </row>
    <row r="195" spans="1:4" ht="26.25" customHeight="1">
      <c r="A195" s="50" t="str">
        <f>'Validation List'!S3</f>
        <v>Advice and information provided during appointment was easy to understand</v>
      </c>
      <c r="B195" s="50"/>
      <c r="C195" s="50"/>
      <c r="D195" s="51"/>
    </row>
    <row r="196" spans="1:4">
      <c r="A196" s="15"/>
      <c r="B196" s="16" t="s">
        <v>37</v>
      </c>
      <c r="C196" s="17" t="s">
        <v>38</v>
      </c>
      <c r="D196" s="17" t="s">
        <v>42</v>
      </c>
    </row>
    <row r="197" spans="1:4">
      <c r="A197" s="15" t="str">
        <f>'Validation List'!S6</f>
        <v>Yes</v>
      </c>
      <c r="B197" s="16">
        <f>COUNTIF(Table2[Was the advice and information provided by the healthcare professional during your
appointment today easy to understand?],A197)</f>
        <v>0</v>
      </c>
      <c r="C197" s="17" t="e">
        <f t="shared" ref="C197:C200" si="25">B197/No_in_Audit*100</f>
        <v>#DIV/0!</v>
      </c>
      <c r="D197" s="17" t="e">
        <f>B197/(No_in_Audit-COUNTIF(Table2[Was the advice and information provided by the healthcare professional during your
appointment today easy to understand?],"Not answered")-COUNTIF(Table2[Was the advice and information provided by the healthcare professional during your
appointment today easy to understand?],"Not Applicable"))*100</f>
        <v>#DIV/0!</v>
      </c>
    </row>
    <row r="198" spans="1:4">
      <c r="A198" s="15" t="str">
        <f>'Validation List'!S7</f>
        <v>No</v>
      </c>
      <c r="B198" s="16">
        <f>COUNTIF(Table2[Was the advice and information provided by the healthcare professional during your
appointment today easy to understand?],A198)</f>
        <v>0</v>
      </c>
      <c r="C198" s="17" t="e">
        <f t="shared" si="25"/>
        <v>#DIV/0!</v>
      </c>
      <c r="D198" s="17" t="e">
        <f>B198/(No_in_Audit-COUNTIF(Table2[Was the advice and information provided by the healthcare professional during your
appointment today easy to understand?],"Not answered")-COUNTIF(Table2[Was the advice and information provided by the healthcare professional during your
appointment today easy to understand?],"Not Applicable"))*100</f>
        <v>#DIV/0!</v>
      </c>
    </row>
    <row r="199" spans="1:4">
      <c r="A199" s="15" t="str">
        <f>'Validation List'!S8</f>
        <v>Not Applicable</v>
      </c>
      <c r="B199" s="16">
        <f>COUNTIF(Table2[Was the advice and information provided by the healthcare professional during your
appointment today easy to understand?],A199)</f>
        <v>0</v>
      </c>
      <c r="C199" s="17" t="e">
        <f t="shared" si="25"/>
        <v>#DIV/0!</v>
      </c>
      <c r="D199" s="17"/>
    </row>
    <row r="200" spans="1:4">
      <c r="A200" s="15" t="str">
        <f>'Validation List'!S15</f>
        <v>Not answered</v>
      </c>
      <c r="B200" s="16">
        <f>COUNTIF(Table2[Was the advice and information provided by the healthcare professional during your
appointment today easy to understand?],A200)</f>
        <v>0</v>
      </c>
      <c r="C200" s="17" t="e">
        <f t="shared" si="25"/>
        <v>#DIV/0!</v>
      </c>
      <c r="D200" s="17"/>
    </row>
    <row r="201" spans="1:4">
      <c r="A201" s="15" t="s">
        <v>39</v>
      </c>
      <c r="B201" s="16">
        <f>SUM(B197:B200)</f>
        <v>0</v>
      </c>
      <c r="C201" s="17" t="e">
        <f>SUM(C197:C200)</f>
        <v>#DIV/0!</v>
      </c>
      <c r="D201" s="17" t="e">
        <f>SUM(D197:D200)</f>
        <v>#DIV/0!</v>
      </c>
    </row>
    <row r="204" spans="1:4">
      <c r="A204" s="47" t="str">
        <f>'Validation List'!T3</f>
        <v>Enough time provided during appointment to ask questions and discuss your health problems and concerns</v>
      </c>
      <c r="B204" s="48"/>
      <c r="C204" s="48"/>
      <c r="D204" s="49"/>
    </row>
    <row r="205" spans="1:4">
      <c r="A205" s="15"/>
      <c r="B205" s="16" t="s">
        <v>37</v>
      </c>
      <c r="C205" s="17" t="s">
        <v>38</v>
      </c>
      <c r="D205" s="17" t="s">
        <v>42</v>
      </c>
    </row>
    <row r="206" spans="1:4">
      <c r="A206" s="15" t="str">
        <f>'Validation List'!T6</f>
        <v>Yes</v>
      </c>
      <c r="B206" s="16">
        <f>COUNTIF(Table2[Did you have enough time during your appointment to ask questions and discuss your health
problems and concerns?],A206)</f>
        <v>0</v>
      </c>
      <c r="C206" s="17" t="e">
        <f t="shared" ref="C206:C208" si="26">B206/No_in_Audit*100</f>
        <v>#DIV/0!</v>
      </c>
      <c r="D206" s="17" t="e">
        <f>B206/(No_in_Audit-COUNTIF(Table2[Did you have enough time during your appointment to ask questions and discuss your health
problems and concerns?],"Not answered"))*100</f>
        <v>#DIV/0!</v>
      </c>
    </row>
    <row r="207" spans="1:4">
      <c r="A207" s="15" t="str">
        <f>'Validation List'!T7</f>
        <v>No</v>
      </c>
      <c r="B207" s="16">
        <f>COUNTIF(Table2[Did you have enough time during your appointment to ask questions and discuss your health
problems and concerns?],A207)</f>
        <v>0</v>
      </c>
      <c r="C207" s="17" t="e">
        <f t="shared" si="26"/>
        <v>#DIV/0!</v>
      </c>
      <c r="D207" s="17" t="e">
        <f>B207/(No_in_Audit-COUNTIF(Table2[Did you have enough time during your appointment to ask questions and discuss your health
problems and concerns?],"Not answered"))*100</f>
        <v>#DIV/0!</v>
      </c>
    </row>
    <row r="208" spans="1:4">
      <c r="A208" s="15" t="str">
        <f>'Validation List'!T15</f>
        <v>Not answered</v>
      </c>
      <c r="B208" s="16">
        <f>COUNTIF(Table2[Did you have enough time during your appointment to ask questions and discuss your health
problems and concerns?],A208)</f>
        <v>0</v>
      </c>
      <c r="C208" s="17" t="e">
        <f t="shared" si="26"/>
        <v>#DIV/0!</v>
      </c>
      <c r="D208" s="17"/>
    </row>
    <row r="209" spans="1:4">
      <c r="A209" s="15" t="s">
        <v>39</v>
      </c>
      <c r="B209" s="16">
        <f>SUM(B206:B208)</f>
        <v>0</v>
      </c>
      <c r="C209" s="17" t="e">
        <f>SUM(C206:C208)</f>
        <v>#DIV/0!</v>
      </c>
      <c r="D209" s="17" t="e">
        <f>SUM(D206:D208)</f>
        <v>#DIV/0!</v>
      </c>
    </row>
    <row r="212" spans="1:4" ht="27" customHeight="1">
      <c r="A212" s="47" t="str">
        <f>'Validation List'!U3</f>
        <v>Were you involved in making decisions about your care and treatment?</v>
      </c>
      <c r="B212" s="48"/>
      <c r="C212" s="48"/>
      <c r="D212" s="49"/>
    </row>
    <row r="213" spans="1:4">
      <c r="A213" s="15"/>
      <c r="B213" s="16" t="s">
        <v>37</v>
      </c>
      <c r="C213" s="17" t="s">
        <v>38</v>
      </c>
      <c r="D213" s="17" t="s">
        <v>42</v>
      </c>
    </row>
    <row r="214" spans="1:4">
      <c r="A214" s="15" t="str">
        <f>'Validation List'!U6</f>
        <v>Yes</v>
      </c>
      <c r="B214" s="16">
        <f>COUNTIF(Table2[Were you involved in making decisions about your care and treatment?],A214)</f>
        <v>0</v>
      </c>
      <c r="C214" s="17" t="e">
        <f t="shared" ref="C214:C216" si="27">B214/No_in_Audit*100</f>
        <v>#DIV/0!</v>
      </c>
      <c r="D214" s="17" t="e">
        <f>B214/(No_in_Audit-COUNTIF(Table2[Were you involved in making decisions about your care and treatment?],"Not answered"))*100</f>
        <v>#DIV/0!</v>
      </c>
    </row>
    <row r="215" spans="1:4">
      <c r="A215" s="15" t="str">
        <f>'Validation List'!U7</f>
        <v>No</v>
      </c>
      <c r="B215" s="16">
        <f>COUNTIF(Table2[Were you involved in making decisions about your care and treatment?],A215)</f>
        <v>0</v>
      </c>
      <c r="C215" s="17" t="e">
        <f t="shared" si="27"/>
        <v>#DIV/0!</v>
      </c>
      <c r="D215" s="17" t="e">
        <f>B215/(No_in_Audit-COUNTIF(Table2[Were you involved in making decisions about your care and treatment?],"Not answered"))*100</f>
        <v>#DIV/0!</v>
      </c>
    </row>
    <row r="216" spans="1:4">
      <c r="A216" s="15" t="str">
        <f>'Validation List'!U15</f>
        <v>Not answered</v>
      </c>
      <c r="B216" s="16">
        <f>COUNTIF(Table2[Were you involved in making decisions about your care and treatment?],A216)</f>
        <v>0</v>
      </c>
      <c r="C216" s="17" t="e">
        <f t="shared" si="27"/>
        <v>#DIV/0!</v>
      </c>
      <c r="D216" s="17"/>
    </row>
    <row r="217" spans="1:4">
      <c r="A217" s="15" t="s">
        <v>39</v>
      </c>
      <c r="B217" s="16">
        <f>SUM(B214:B216)</f>
        <v>0</v>
      </c>
      <c r="C217" s="17" t="e">
        <f>SUM(C214:C216)</f>
        <v>#DIV/0!</v>
      </c>
      <c r="D217" s="17" t="e">
        <f>SUM(D214:D216)</f>
        <v>#DIV/0!</v>
      </c>
    </row>
    <row r="220" spans="1:4">
      <c r="A220" s="47" t="str">
        <f>'Validation List'!V3</f>
        <v>Information or advice received on Quitting smoking during your visit</v>
      </c>
      <c r="B220" s="48"/>
      <c r="C220" s="48"/>
      <c r="D220" s="49"/>
    </row>
    <row r="221" spans="1:4">
      <c r="A221" s="15"/>
      <c r="B221" s="16" t="s">
        <v>37</v>
      </c>
      <c r="C221" s="17" t="s">
        <v>38</v>
      </c>
      <c r="D221" s="17" t="s">
        <v>42</v>
      </c>
    </row>
    <row r="222" spans="1:4">
      <c r="A222" s="15" t="str">
        <f>'Validation List'!V6</f>
        <v>Yes</v>
      </c>
      <c r="B222" s="16">
        <f>COUNTIF(Table2[Did you receive information or advice on Quitting smoking during your visit today?],A222)</f>
        <v>0</v>
      </c>
      <c r="C222" s="17" t="e">
        <f t="shared" ref="C222:C225" si="28">B222/No_in_Audit*100</f>
        <v>#DIV/0!</v>
      </c>
      <c r="D222" s="17" t="e">
        <f>B222/(No_in_Audit-COUNTIF(Table2[Did you receive information or advice on Quitting smoking during your visit today?],"Not answered")-COUNTIF(Table2[Did you receive information or advice on Quitting smoking during your visit today?],"Not Applicable"))*100</f>
        <v>#DIV/0!</v>
      </c>
    </row>
    <row r="223" spans="1:4">
      <c r="A223" s="15" t="str">
        <f>'Validation List'!V7</f>
        <v>No</v>
      </c>
      <c r="B223" s="16">
        <f>COUNTIF(Table2[Did you receive information or advice on Quitting smoking during your visit today?],A223)</f>
        <v>0</v>
      </c>
      <c r="C223" s="17" t="e">
        <f t="shared" si="28"/>
        <v>#DIV/0!</v>
      </c>
      <c r="D223" s="17" t="e">
        <f>B223/(No_in_Audit-COUNTIF(Table2[Did you receive information or advice on Quitting smoking during your visit today?],"Not answered")-COUNTIF(Table2[Did you receive information or advice on Quitting smoking during your visit today?],"Not Applicable"))*100</f>
        <v>#DIV/0!</v>
      </c>
    </row>
    <row r="224" spans="1:4">
      <c r="A224" s="15" t="str">
        <f>'Validation List'!V8</f>
        <v>Not Applicable</v>
      </c>
      <c r="B224" s="16">
        <f>COUNTIF(Table2[Did you receive information or advice on Quitting smoking during your visit today?],A224)</f>
        <v>0</v>
      </c>
      <c r="C224" s="17" t="e">
        <f t="shared" si="28"/>
        <v>#DIV/0!</v>
      </c>
      <c r="D224" s="17"/>
    </row>
    <row r="225" spans="1:4">
      <c r="A225" s="15" t="str">
        <f>'Validation List'!V15</f>
        <v>Not answered</v>
      </c>
      <c r="B225" s="16">
        <f>COUNTIF(Table2[Did you receive information or advice on Quitting smoking during your visit today?],A225)</f>
        <v>0</v>
      </c>
      <c r="C225" s="17" t="e">
        <f t="shared" si="28"/>
        <v>#DIV/0!</v>
      </c>
      <c r="D225" s="17"/>
    </row>
    <row r="226" spans="1:4">
      <c r="A226" s="15" t="s">
        <v>39</v>
      </c>
      <c r="B226" s="16">
        <f>SUM(B222:B225)</f>
        <v>0</v>
      </c>
      <c r="C226" s="17" t="e">
        <f>SUM(C222:C225)</f>
        <v>#DIV/0!</v>
      </c>
      <c r="D226" s="17" t="e">
        <f>SUM(D222:D225)</f>
        <v>#DIV/0!</v>
      </c>
    </row>
    <row r="229" spans="1:4">
      <c r="A229" s="50" t="str">
        <f>'Validation List'!W3</f>
        <v>Information or advice received  on Losing weight during your visit today</v>
      </c>
      <c r="B229" s="50"/>
      <c r="C229" s="50"/>
      <c r="D229" s="51"/>
    </row>
    <row r="230" spans="1:4">
      <c r="A230" s="15"/>
      <c r="B230" s="16" t="s">
        <v>37</v>
      </c>
      <c r="C230" s="17" t="s">
        <v>38</v>
      </c>
      <c r="D230" s="17" t="s">
        <v>42</v>
      </c>
    </row>
    <row r="231" spans="1:4">
      <c r="A231" s="15" t="str">
        <f>'Validation List'!W6</f>
        <v>Yes</v>
      </c>
      <c r="B231" s="16">
        <f>COUNTIF(Table2[Did you receive information or advice on Losing weight during your visit today?],A231)</f>
        <v>0</v>
      </c>
      <c r="C231" s="17" t="e">
        <f t="shared" ref="C231:C234" si="29">B231/No_in_Audit*100</f>
        <v>#DIV/0!</v>
      </c>
      <c r="D231" s="17" t="e">
        <f>B231/(No_in_Audit-COUNTIF(Table2[Did you receive information or advice on Losing weight during your visit today?],"Not answered")-COUNTIF(Table2[Did you receive information or advice on Losing weight during your visit today?],"Not Applicable"))*100</f>
        <v>#DIV/0!</v>
      </c>
    </row>
    <row r="232" spans="1:4">
      <c r="A232" s="15" t="str">
        <f>'Validation List'!W7</f>
        <v>No</v>
      </c>
      <c r="B232" s="16">
        <f>COUNTIF(Table2[Did you receive information or advice on Losing weight during your visit today?],A232)</f>
        <v>0</v>
      </c>
      <c r="C232" s="17" t="e">
        <f t="shared" si="29"/>
        <v>#DIV/0!</v>
      </c>
      <c r="D232" s="17" t="e">
        <f>B232/(No_in_Audit-COUNTIF(Table2[Did you receive information or advice on Losing weight during your visit today?],"Not answered")-COUNTIF(Table2[Did you receive information or advice on Losing weight during your visit today?],"Not Applicable"))*100</f>
        <v>#DIV/0!</v>
      </c>
    </row>
    <row r="233" spans="1:4">
      <c r="A233" s="15" t="str">
        <f>'Validation List'!W8</f>
        <v>Not Applicable</v>
      </c>
      <c r="B233" s="16">
        <f>COUNTIF(Table2[Did you receive information or advice on Losing weight during your visit today?],A233)</f>
        <v>0</v>
      </c>
      <c r="C233" s="17" t="e">
        <f t="shared" si="29"/>
        <v>#DIV/0!</v>
      </c>
      <c r="D233" s="17"/>
    </row>
    <row r="234" spans="1:4">
      <c r="A234" s="15" t="str">
        <f>'Validation List'!W15</f>
        <v>Not answered</v>
      </c>
      <c r="B234" s="16">
        <f>COUNTIF(Table2[Did you receive information or advice on Losing weight during your visit today?],A234)</f>
        <v>0</v>
      </c>
      <c r="C234" s="17" t="e">
        <f t="shared" si="29"/>
        <v>#DIV/0!</v>
      </c>
      <c r="D234" s="17"/>
    </row>
    <row r="235" spans="1:4">
      <c r="A235" s="15" t="s">
        <v>39</v>
      </c>
      <c r="B235" s="16">
        <f>SUM(B231:B234)</f>
        <v>0</v>
      </c>
      <c r="C235" s="17" t="e">
        <f>SUM(C231:C234)</f>
        <v>#DIV/0!</v>
      </c>
      <c r="D235" s="17" t="e">
        <f>SUM(D231:D234)</f>
        <v>#DIV/0!</v>
      </c>
    </row>
    <row r="238" spans="1:4" ht="26.25" customHeight="1">
      <c r="A238" s="50" t="str">
        <f>'Validation List'!X3</f>
        <v>Information or advice received  on Nutrition and healthy eating during your visit</v>
      </c>
      <c r="B238" s="50"/>
      <c r="C238" s="50"/>
      <c r="D238" s="51"/>
    </row>
    <row r="239" spans="1:4">
      <c r="A239" s="15"/>
      <c r="B239" s="16" t="s">
        <v>37</v>
      </c>
      <c r="C239" s="17" t="s">
        <v>38</v>
      </c>
      <c r="D239" s="17" t="s">
        <v>42</v>
      </c>
    </row>
    <row r="240" spans="1:4">
      <c r="A240" s="15" t="str">
        <f>'Validation List'!X6</f>
        <v>Yes</v>
      </c>
      <c r="B240" s="16">
        <f>COUNTIF(Table2[Did you receive information or advice on Nutrition and healthy eating during your visit today?],A240)</f>
        <v>0</v>
      </c>
      <c r="C240" s="17" t="e">
        <f t="shared" ref="C240:C243" si="30">B240/No_in_Audit*100</f>
        <v>#DIV/0!</v>
      </c>
      <c r="D240" s="17" t="e">
        <f>B240/(No_in_Audit-COUNTIF(Table2[Did you receive information or advice on Nutrition and healthy eating during your visit today?],"Not answered")-COUNTIF(Table2[Did you receive information or advice on Nutrition and healthy eating during your visit today?],"Not Applicable"))*100</f>
        <v>#DIV/0!</v>
      </c>
    </row>
    <row r="241" spans="1:4">
      <c r="A241" s="15" t="str">
        <f>'Validation List'!X7</f>
        <v>No</v>
      </c>
      <c r="B241" s="16">
        <f>COUNTIF(Table2[Did you receive information or advice on Nutrition and healthy eating during your visit today?],A241)</f>
        <v>0</v>
      </c>
      <c r="C241" s="17" t="e">
        <f t="shared" si="30"/>
        <v>#DIV/0!</v>
      </c>
      <c r="D241" s="17" t="e">
        <f>B241/(No_in_Audit-COUNTIF(Table2[Did you receive information or advice on Nutrition and healthy eating during your visit today?],"Not answered")-COUNTIF(Table2[Did you receive information or advice on Nutrition and healthy eating during your visit today?],"Not Applicable"))*100</f>
        <v>#DIV/0!</v>
      </c>
    </row>
    <row r="242" spans="1:4">
      <c r="A242" s="15" t="str">
        <f>'Validation List'!X8</f>
        <v>Not Applicable</v>
      </c>
      <c r="B242" s="16">
        <f>COUNTIF(Table2[Did you receive information or advice on Nutrition and healthy eating during your visit today?],A242)</f>
        <v>0</v>
      </c>
      <c r="C242" s="17" t="e">
        <f t="shared" si="30"/>
        <v>#DIV/0!</v>
      </c>
      <c r="D242" s="17"/>
    </row>
    <row r="243" spans="1:4">
      <c r="A243" s="15" t="str">
        <f>'Validation List'!X15</f>
        <v>Not answered</v>
      </c>
      <c r="B243" s="16">
        <f>COUNTIF(Table2[Did you receive information or advice on Nutrition and healthy eating during your visit today?],A243)</f>
        <v>0</v>
      </c>
      <c r="C243" s="17" t="e">
        <f t="shared" si="30"/>
        <v>#DIV/0!</v>
      </c>
      <c r="D243" s="17"/>
    </row>
    <row r="244" spans="1:4">
      <c r="A244" s="15" t="s">
        <v>39</v>
      </c>
      <c r="B244" s="16">
        <f>SUM(B240:B243)</f>
        <v>0</v>
      </c>
      <c r="C244" s="17" t="e">
        <f>SUM(C240:C243)</f>
        <v>#DIV/0!</v>
      </c>
      <c r="D244" s="17" t="e">
        <f>SUM(D240:D243)</f>
        <v>#DIV/0!</v>
      </c>
    </row>
    <row r="247" spans="1:4">
      <c r="A247" s="50" t="str">
        <f>'Validation List'!Y3</f>
        <v>Information or advice received on Physical activity during your visit today</v>
      </c>
      <c r="B247" s="50"/>
      <c r="C247" s="50"/>
      <c r="D247" s="51"/>
    </row>
    <row r="248" spans="1:4">
      <c r="A248" s="15"/>
      <c r="B248" s="16" t="s">
        <v>37</v>
      </c>
      <c r="C248" s="17" t="s">
        <v>38</v>
      </c>
      <c r="D248" s="17" t="s">
        <v>42</v>
      </c>
    </row>
    <row r="249" spans="1:4">
      <c r="A249" s="15" t="str">
        <f>'Validation List'!Y6</f>
        <v>Yes</v>
      </c>
      <c r="B249" s="16">
        <f>COUNTIF(Table2[Did you receive information or advice on Physical activity during your visit today?],A249)</f>
        <v>0</v>
      </c>
      <c r="C249" s="17" t="e">
        <f t="shared" ref="C249:C252" si="31">B249/No_in_Audit*100</f>
        <v>#DIV/0!</v>
      </c>
      <c r="D249" s="17" t="e">
        <f>B249/(No_in_Audit-COUNTIF(Table2[Did you receive information or advice on Physical activity during your visit today?],"Not answered")-COUNTIF(Table2[Did you receive information or advice on Physical activity during your visit today?],"Not Applicable"))*100</f>
        <v>#DIV/0!</v>
      </c>
    </row>
    <row r="250" spans="1:4">
      <c r="A250" s="15" t="str">
        <f>'Validation List'!Y7</f>
        <v>No</v>
      </c>
      <c r="B250" s="16">
        <f>COUNTIF(Table2[Did you receive information or advice on Physical activity during your visit today?],A250)</f>
        <v>0</v>
      </c>
      <c r="C250" s="17" t="e">
        <f t="shared" si="31"/>
        <v>#DIV/0!</v>
      </c>
      <c r="D250" s="17" t="e">
        <f>B250/(No_in_Audit-COUNTIF(Table2[Did you receive information or advice on Physical activity during your visit today?],"Not answered")-COUNTIF(Table2[Did you receive information or advice on Physical activity during your visit today?],"Not Applicable"))*100</f>
        <v>#DIV/0!</v>
      </c>
    </row>
    <row r="251" spans="1:4">
      <c r="A251" s="15" t="str">
        <f>'Validation List'!Y8</f>
        <v>Not Applicable</v>
      </c>
      <c r="B251" s="16">
        <f>COUNTIF(Table2[Did you receive information or advice on Physical activity during your visit today?],A251)</f>
        <v>0</v>
      </c>
      <c r="C251" s="17" t="e">
        <f t="shared" si="31"/>
        <v>#DIV/0!</v>
      </c>
      <c r="D251" s="17"/>
    </row>
    <row r="252" spans="1:4">
      <c r="A252" s="15" t="str">
        <f>'Validation List'!Y15</f>
        <v>Not answered</v>
      </c>
      <c r="B252" s="16">
        <f>COUNTIF(Table2[Did you receive information or advice on Physical activity during your visit today?],A252)</f>
        <v>0</v>
      </c>
      <c r="C252" s="17" t="e">
        <f t="shared" si="31"/>
        <v>#DIV/0!</v>
      </c>
      <c r="D252" s="17"/>
    </row>
    <row r="253" spans="1:4">
      <c r="A253" s="15" t="s">
        <v>39</v>
      </c>
      <c r="B253" s="16">
        <f>SUM(B249:B252)</f>
        <v>0</v>
      </c>
      <c r="C253" s="17" t="e">
        <f>SUM(C249:C252)</f>
        <v>#DIV/0!</v>
      </c>
      <c r="D253" s="17" t="e">
        <f>SUM(D249:D252)</f>
        <v>#DIV/0!</v>
      </c>
    </row>
    <row r="256" spans="1:4">
      <c r="A256" s="50" t="str">
        <f>'Validation List'!Z3</f>
        <v xml:space="preserve">Information or advice received on Alcohol use during your visit </v>
      </c>
      <c r="B256" s="50"/>
      <c r="C256" s="50"/>
      <c r="D256" s="51"/>
    </row>
    <row r="257" spans="1:4">
      <c r="A257" s="15"/>
      <c r="B257" s="16" t="s">
        <v>37</v>
      </c>
      <c r="C257" s="17" t="s">
        <v>38</v>
      </c>
      <c r="D257" s="17" t="s">
        <v>42</v>
      </c>
    </row>
    <row r="258" spans="1:4">
      <c r="A258" s="15" t="str">
        <f>'Validation List'!Z6</f>
        <v>Yes</v>
      </c>
      <c r="B258" s="16">
        <f>COUNTIF(Table2[Did you receive information or advice on Alcohol use during your visit today?],A258)</f>
        <v>0</v>
      </c>
      <c r="C258" s="17" t="e">
        <f t="shared" ref="C258:C261" si="32">B258/No_in_Audit*100</f>
        <v>#DIV/0!</v>
      </c>
      <c r="D258" s="17" t="e">
        <f>B258/(No_in_Audit-COUNTIF(Table2[Did you receive information or advice on Alcohol use during your visit today?],"Not answered")-COUNTIF(Table2[Did you receive information or advice on Alcohol use during your visit today?],"Not Applicable"))*100</f>
        <v>#DIV/0!</v>
      </c>
    </row>
    <row r="259" spans="1:4">
      <c r="A259" s="15" t="str">
        <f>'Validation List'!Z7</f>
        <v>No</v>
      </c>
      <c r="B259" s="16">
        <f>COUNTIF(Table2[Did you receive information or advice on Alcohol use during your visit today?],A259)</f>
        <v>0</v>
      </c>
      <c r="C259" s="17" t="e">
        <f t="shared" si="32"/>
        <v>#DIV/0!</v>
      </c>
      <c r="D259" s="17" t="e">
        <f>B259/(No_in_Audit-COUNTIF(Table2[Did you receive information or advice on Alcohol use during your visit today?],"Not answered")-COUNTIF(Table2[Did you receive information or advice on Alcohol use during your visit today?],"Not Applicable"))*100</f>
        <v>#DIV/0!</v>
      </c>
    </row>
    <row r="260" spans="1:4">
      <c r="A260" s="15" t="str">
        <f>'Validation List'!Z8</f>
        <v>Not Applicable</v>
      </c>
      <c r="B260" s="16">
        <f>COUNTIF(Table2[Did you receive information or advice on Alcohol use during your visit today?],A260)</f>
        <v>0</v>
      </c>
      <c r="C260" s="17" t="e">
        <f t="shared" si="32"/>
        <v>#DIV/0!</v>
      </c>
      <c r="D260" s="17"/>
    </row>
    <row r="261" spans="1:4">
      <c r="A261" s="15" t="str">
        <f>'Validation List'!Z15</f>
        <v>Not answered</v>
      </c>
      <c r="B261" s="16">
        <f>COUNTIF(Table2[Did you receive information or advice on Alcohol use during your visit today?],A261)</f>
        <v>0</v>
      </c>
      <c r="C261" s="17" t="e">
        <f t="shared" si="32"/>
        <v>#DIV/0!</v>
      </c>
      <c r="D261" s="17"/>
    </row>
    <row r="262" spans="1:4">
      <c r="A262" s="15" t="s">
        <v>39</v>
      </c>
      <c r="B262" s="16">
        <f>SUM(B258:B261)</f>
        <v>0</v>
      </c>
      <c r="C262" s="17" t="e">
        <f>SUM(C258:C261)</f>
        <v>#DIV/0!</v>
      </c>
      <c r="D262" s="17" t="e">
        <f>SUM(D258:D261)</f>
        <v>#DIV/0!</v>
      </c>
    </row>
    <row r="265" spans="1:4" ht="30" customHeight="1">
      <c r="A265" s="47" t="str">
        <f>'Validation List'!AA3</f>
        <v>Information or advice received Mental health and wellbeing during your visit</v>
      </c>
      <c r="B265" s="48"/>
      <c r="C265" s="48"/>
      <c r="D265" s="49"/>
    </row>
    <row r="266" spans="1:4">
      <c r="A266" s="15"/>
      <c r="B266" s="16" t="s">
        <v>37</v>
      </c>
      <c r="C266" s="17" t="s">
        <v>38</v>
      </c>
      <c r="D266" s="17" t="s">
        <v>42</v>
      </c>
    </row>
    <row r="267" spans="1:4">
      <c r="A267" s="15" t="str">
        <f>'Validation List'!AA6</f>
        <v>Yes</v>
      </c>
      <c r="B267" s="16">
        <f>COUNTIF(Table2[Did you receive information or advice on Mental health and wellbeing during your visit today?],A267)</f>
        <v>0</v>
      </c>
      <c r="C267" s="17" t="e">
        <f t="shared" ref="C267:C270" si="33">B267/No_in_Audit*100</f>
        <v>#DIV/0!</v>
      </c>
      <c r="D267" s="17" t="e">
        <f>B267/(No_in_Audit-COUNTIF(Table2[Did you receive information or advice on Mental health and wellbeing during your visit today?],"Not answered")-COUNTIF(Table2[Did you receive information or advice on Mental health and wellbeing during your visit today?],"Not Applicable"))*100</f>
        <v>#DIV/0!</v>
      </c>
    </row>
    <row r="268" spans="1:4">
      <c r="A268" s="15" t="str">
        <f>'Validation List'!AA7</f>
        <v>No</v>
      </c>
      <c r="B268" s="16">
        <f>COUNTIF(Table2[Did you receive information or advice on Mental health and wellbeing during your visit today?],A268)</f>
        <v>0</v>
      </c>
      <c r="C268" s="17" t="e">
        <f t="shared" si="33"/>
        <v>#DIV/0!</v>
      </c>
      <c r="D268" s="17" t="e">
        <f>B268/(No_in_Audit-COUNTIF(Table2[Did you receive information or advice on Mental health and wellbeing during your visit today?],"Not answered")-COUNTIF(Table2[Did you receive information or advice on Mental health and wellbeing during your visit today?],"Not Applicable"))*100</f>
        <v>#DIV/0!</v>
      </c>
    </row>
    <row r="269" spans="1:4">
      <c r="A269" s="15" t="str">
        <f>'Validation List'!AA8</f>
        <v>Not Applicable</v>
      </c>
      <c r="B269" s="16">
        <f>COUNTIF(Table2[Did you receive information or advice on Mental health and wellbeing during your visit today?],A269)</f>
        <v>0</v>
      </c>
      <c r="C269" s="17" t="e">
        <f t="shared" si="33"/>
        <v>#DIV/0!</v>
      </c>
      <c r="D269" s="17"/>
    </row>
    <row r="270" spans="1:4">
      <c r="A270" s="15" t="str">
        <f>'Validation List'!AA15</f>
        <v>Not answered</v>
      </c>
      <c r="B270" s="16">
        <f>COUNTIF(Table2[Did you receive information or advice on Mental health and wellbeing during your visit today?],A270)</f>
        <v>0</v>
      </c>
      <c r="C270" s="17" t="e">
        <f t="shared" si="33"/>
        <v>#DIV/0!</v>
      </c>
      <c r="D270" s="17"/>
    </row>
    <row r="271" spans="1:4">
      <c r="A271" s="15" t="s">
        <v>39</v>
      </c>
      <c r="B271" s="16">
        <f>SUM(B267:B270)</f>
        <v>0</v>
      </c>
      <c r="C271" s="17" t="e">
        <f>SUM(C267:C270)</f>
        <v>#DIV/0!</v>
      </c>
      <c r="D271" s="17" t="e">
        <f>SUM(D267:D270)</f>
        <v>#DIV/0!</v>
      </c>
    </row>
    <row r="274" spans="1:4" ht="27" customHeight="1">
      <c r="A274" s="47" t="str">
        <f>'Validation List'!AB3</f>
        <v>Information or advice received on Dementia during your visit</v>
      </c>
      <c r="B274" s="48"/>
      <c r="C274" s="48"/>
      <c r="D274" s="49"/>
    </row>
    <row r="275" spans="1:4">
      <c r="A275" s="15"/>
      <c r="B275" s="16" t="s">
        <v>37</v>
      </c>
      <c r="C275" s="17" t="s">
        <v>38</v>
      </c>
      <c r="D275" s="17" t="s">
        <v>42</v>
      </c>
    </row>
    <row r="276" spans="1:4">
      <c r="A276" s="15" t="str">
        <f>'Validation List'!AB6</f>
        <v>Yes</v>
      </c>
      <c r="B276" s="16">
        <f>COUNTIF(Table2[Did you receive information or advice on Dementia during your visit today?],A276)</f>
        <v>0</v>
      </c>
      <c r="C276" s="17" t="e">
        <f t="shared" ref="C276:C279" si="34">B276/No_in_Audit*100</f>
        <v>#DIV/0!</v>
      </c>
      <c r="D276" s="17" t="e">
        <f>B276/(No_in_Audit-COUNTIF(Table2[Did you receive information or advice on Dementia during your visit today?],"Not answered")-COUNTIF(Table2[Did you receive information or advice on Dementia during your visit today?],"Not Applicable"))*100</f>
        <v>#DIV/0!</v>
      </c>
    </row>
    <row r="277" spans="1:4">
      <c r="A277" s="15" t="str">
        <f>'Validation List'!AB7</f>
        <v>No</v>
      </c>
      <c r="B277" s="16">
        <f>COUNTIF(Table2[Did you receive information or advice on Dementia during your visit today?],A277)</f>
        <v>0</v>
      </c>
      <c r="C277" s="17" t="e">
        <f t="shared" si="34"/>
        <v>#DIV/0!</v>
      </c>
      <c r="D277" s="17" t="e">
        <f>B277/(No_in_Audit-COUNTIF(Table2[Did you receive information or advice on Dementia during your visit today?],"Not answered")-COUNTIF(Table2[Did you receive information or advice on Dementia during your visit today?],"Not Applicable"))*100</f>
        <v>#DIV/0!</v>
      </c>
    </row>
    <row r="278" spans="1:4">
      <c r="A278" s="15" t="str">
        <f>'Validation List'!AB8</f>
        <v>Not Applicable</v>
      </c>
      <c r="B278" s="16">
        <f>COUNTIF(Table2[Did you receive information or advice on Dementia during your visit today?],A278)</f>
        <v>0</v>
      </c>
      <c r="C278" s="17" t="e">
        <f t="shared" si="34"/>
        <v>#DIV/0!</v>
      </c>
      <c r="D278" s="17"/>
    </row>
    <row r="279" spans="1:4">
      <c r="A279" s="15" t="str">
        <f>'Validation List'!AB15</f>
        <v>Not answered</v>
      </c>
      <c r="B279" s="16">
        <f>COUNTIF(Table2[Did you receive information or advice on Dementia during your visit today?],A279)</f>
        <v>0</v>
      </c>
      <c r="C279" s="17" t="e">
        <f t="shared" si="34"/>
        <v>#DIV/0!</v>
      </c>
      <c r="D279" s="17"/>
    </row>
    <row r="280" spans="1:4">
      <c r="A280" s="15" t="s">
        <v>39</v>
      </c>
      <c r="B280" s="16">
        <f>SUM(B276:B279)</f>
        <v>0</v>
      </c>
      <c r="C280" s="17" t="e">
        <f>SUM(C276:C279)</f>
        <v>#DIV/0!</v>
      </c>
      <c r="D280" s="17" t="e">
        <f>SUM(D276:D279)</f>
        <v>#DIV/0!</v>
      </c>
    </row>
    <row r="283" spans="1:4" ht="30" customHeight="1">
      <c r="A283" s="47" t="str">
        <f>'Validation List'!AC3</f>
        <v>Information or advice received on Falls prevention during your visit</v>
      </c>
      <c r="B283" s="48"/>
      <c r="C283" s="48"/>
      <c r="D283" s="49"/>
    </row>
    <row r="284" spans="1:4">
      <c r="A284" s="15"/>
      <c r="B284" s="16" t="s">
        <v>37</v>
      </c>
      <c r="C284" s="17" t="s">
        <v>38</v>
      </c>
      <c r="D284" s="17" t="s">
        <v>42</v>
      </c>
    </row>
    <row r="285" spans="1:4">
      <c r="A285" s="15" t="str">
        <f>'Validation List'!AC6</f>
        <v>Yes</v>
      </c>
      <c r="B285" s="16">
        <f>COUNTIF(Table2[Did you receive information or advice on Falls prevention during your visit today?],A285)</f>
        <v>0</v>
      </c>
      <c r="C285" s="17" t="e">
        <f t="shared" ref="C285:C288" si="35">B285/No_in_Audit*100</f>
        <v>#DIV/0!</v>
      </c>
      <c r="D285" s="17" t="e">
        <f>B285/(No_in_Audit-COUNTIF(Table2[Did you receive information or advice on Falls prevention during your visit today?],"Not answered")-COUNTIF(Table2[Did you receive information or advice on Falls prevention during your visit today?],"Not Applicable"))*100</f>
        <v>#DIV/0!</v>
      </c>
    </row>
    <row r="286" spans="1:4">
      <c r="A286" s="15" t="str">
        <f>'Validation List'!AC7</f>
        <v>No</v>
      </c>
      <c r="B286" s="16">
        <f>COUNTIF(Table2[Did you receive information or advice on Falls prevention during your visit today?],A286)</f>
        <v>0</v>
      </c>
      <c r="C286" s="17" t="e">
        <f t="shared" si="35"/>
        <v>#DIV/0!</v>
      </c>
      <c r="D286" s="17" t="e">
        <f>B286/(No_in_Audit-COUNTIF(Table2[Did you receive information or advice on Falls prevention during your visit today?],"Not answered")-COUNTIF(Table2[Did you receive information or advice on Falls prevention during your visit today?],"Not Applicable"))*100</f>
        <v>#DIV/0!</v>
      </c>
    </row>
    <row r="287" spans="1:4">
      <c r="A287" s="15" t="str">
        <f>'Validation List'!AC8</f>
        <v>Not Applicable</v>
      </c>
      <c r="B287" s="16">
        <f>COUNTIF(Table2[Did you receive information or advice on Falls prevention during your visit today?],A287)</f>
        <v>0</v>
      </c>
      <c r="C287" s="17" t="e">
        <f t="shared" si="35"/>
        <v>#DIV/0!</v>
      </c>
      <c r="D287" s="17"/>
    </row>
    <row r="288" spans="1:4">
      <c r="A288" s="15" t="str">
        <f>'Validation List'!AC15</f>
        <v>Not answered</v>
      </c>
      <c r="B288" s="16">
        <f>COUNTIF(Table2[Did you receive information or advice on Falls prevention during your visit today?],A288)</f>
        <v>0</v>
      </c>
      <c r="C288" s="17" t="e">
        <f t="shared" si="35"/>
        <v>#DIV/0!</v>
      </c>
      <c r="D288" s="17"/>
    </row>
    <row r="289" spans="1:4">
      <c r="A289" s="15" t="s">
        <v>39</v>
      </c>
      <c r="B289" s="16">
        <f>SUM(B285:B288)</f>
        <v>0</v>
      </c>
      <c r="C289" s="17" t="e">
        <f>SUM(C285:C288)</f>
        <v>#DIV/0!</v>
      </c>
      <c r="D289" s="17" t="e">
        <f>SUM(D285:D288)</f>
        <v>#DIV/0!</v>
      </c>
    </row>
    <row r="292" spans="1:4" ht="26.25" customHeight="1">
      <c r="A292" s="47" t="str">
        <f>'Validation List'!AD3</f>
        <v>Information or advice received on Drug use during your visit</v>
      </c>
      <c r="B292" s="48"/>
      <c r="C292" s="48"/>
      <c r="D292" s="49"/>
    </row>
    <row r="293" spans="1:4">
      <c r="A293" s="15"/>
      <c r="B293" s="16" t="s">
        <v>37</v>
      </c>
      <c r="C293" s="17" t="s">
        <v>38</v>
      </c>
      <c r="D293" s="17" t="s">
        <v>42</v>
      </c>
    </row>
    <row r="294" spans="1:4">
      <c r="A294" s="15" t="str">
        <f>'Validation List'!AD6</f>
        <v>Yes</v>
      </c>
      <c r="B294" s="16">
        <f>COUNTIF(Table2[Did you receive information or advice on Drug use during your visit today?],A294)</f>
        <v>0</v>
      </c>
      <c r="C294" s="17" t="e">
        <f t="shared" ref="C294:C297" si="36">B294/No_in_Audit*100</f>
        <v>#DIV/0!</v>
      </c>
      <c r="D294" s="17" t="e">
        <f>B294/(No_in_Audit-COUNTIF(Table2[Did you receive information or advice on Drug use during your visit today?],"Not answered")-COUNTIF(Table2[Did you receive information or advice on Drug use during your visit today?],"Not Applicable"))*100</f>
        <v>#DIV/0!</v>
      </c>
    </row>
    <row r="295" spans="1:4">
      <c r="A295" s="15" t="str">
        <f>'Validation List'!AD7</f>
        <v>No</v>
      </c>
      <c r="B295" s="16">
        <f>COUNTIF(Table2[Did you receive information or advice on Drug use during your visit today?],A295)</f>
        <v>0</v>
      </c>
      <c r="C295" s="17" t="e">
        <f t="shared" si="36"/>
        <v>#DIV/0!</v>
      </c>
      <c r="D295" s="17" t="e">
        <f>B295/(No_in_Audit-COUNTIF(Table2[Did you receive information or advice on Drug use during your visit today?],"Not answered")-COUNTIF(Table2[Did you receive information or advice on Drug use during your visit today?],"Not Applicable"))*100</f>
        <v>#DIV/0!</v>
      </c>
    </row>
    <row r="296" spans="1:4">
      <c r="A296" s="15" t="str">
        <f>'Validation List'!AD8</f>
        <v>Not Applicable</v>
      </c>
      <c r="B296" s="16">
        <f>COUNTIF(Table2[Did you receive information or advice on Drug use during your visit today?],A296)</f>
        <v>0</v>
      </c>
      <c r="C296" s="17" t="e">
        <f t="shared" si="36"/>
        <v>#DIV/0!</v>
      </c>
      <c r="D296" s="17"/>
    </row>
    <row r="297" spans="1:4">
      <c r="A297" s="15" t="str">
        <f>'Validation List'!AD15</f>
        <v>Not answered</v>
      </c>
      <c r="B297" s="16">
        <f>COUNTIF(Table2[Did you receive information or advice on Drug use during your visit today?],A297)</f>
        <v>0</v>
      </c>
      <c r="C297" s="17" t="e">
        <f t="shared" si="36"/>
        <v>#DIV/0!</v>
      </c>
      <c r="D297" s="17"/>
    </row>
    <row r="298" spans="1:4">
      <c r="A298" s="15" t="s">
        <v>39</v>
      </c>
      <c r="B298" s="16">
        <f>SUM(B294:B297)</f>
        <v>0</v>
      </c>
      <c r="C298" s="17" t="e">
        <f>SUM(C294:C297)</f>
        <v>#DIV/0!</v>
      </c>
      <c r="D298" s="17" t="e">
        <f>SUM(D294:D297)</f>
        <v>#DIV/0!</v>
      </c>
    </row>
    <row r="301" spans="1:4" ht="28.5" customHeight="1">
      <c r="A301" s="47" t="str">
        <f>'Validation List'!AE3</f>
        <v>Information or advice received on Other issues during your visit today</v>
      </c>
      <c r="B301" s="48"/>
      <c r="C301" s="48"/>
      <c r="D301" s="49"/>
    </row>
    <row r="302" spans="1:4">
      <c r="A302" s="15"/>
      <c r="B302" s="16" t="s">
        <v>37</v>
      </c>
      <c r="C302" s="17" t="s">
        <v>38</v>
      </c>
      <c r="D302" s="17" t="s">
        <v>42</v>
      </c>
    </row>
    <row r="303" spans="1:4">
      <c r="A303" s="15" t="str">
        <f>'Validation List'!AE6</f>
        <v>Yes</v>
      </c>
      <c r="B303" s="16">
        <f>COUNTIF(Table2[Did you receive other information or advice during your visit today?],A303)</f>
        <v>0</v>
      </c>
      <c r="C303" s="17" t="e">
        <f t="shared" ref="C303:C306" si="37">B303/No_in_Audit*100</f>
        <v>#DIV/0!</v>
      </c>
      <c r="D303" s="17" t="e">
        <f>B303/(No_in_Audit-COUNTIF(Table2[Did you receive other information or advice during your visit today?],"Not answered")-COUNTIF(Table2[Did you receive other information or advice during your visit today?],"Not Applicable"))*100</f>
        <v>#DIV/0!</v>
      </c>
    </row>
    <row r="304" spans="1:4">
      <c r="A304" s="15" t="str">
        <f>'Validation List'!AE7</f>
        <v>No</v>
      </c>
      <c r="B304" s="16">
        <f>COUNTIF(Table2[Did you receive other information or advice during your visit today?],A304)</f>
        <v>0</v>
      </c>
      <c r="C304" s="17" t="e">
        <f t="shared" si="37"/>
        <v>#DIV/0!</v>
      </c>
      <c r="D304" s="17" t="e">
        <f>B304/(No_in_Audit-COUNTIF(Table2[Did you receive other information or advice during your visit today?],"Not answered")-COUNTIF(Table2[Did you receive other information or advice during your visit today?],"Not Applicable"))*100</f>
        <v>#DIV/0!</v>
      </c>
    </row>
    <row r="305" spans="1:4">
      <c r="A305" s="15" t="str">
        <f>'Validation List'!AE8</f>
        <v>Not Applicable</v>
      </c>
      <c r="B305" s="16">
        <f>COUNTIF(Table2[Did you receive other information or advice during your visit today?],A305)</f>
        <v>0</v>
      </c>
      <c r="C305" s="17" t="e">
        <f t="shared" si="37"/>
        <v>#DIV/0!</v>
      </c>
      <c r="D305" s="17"/>
    </row>
    <row r="306" spans="1:4">
      <c r="A306" s="15" t="str">
        <f>'Validation List'!AE15</f>
        <v>Not answered</v>
      </c>
      <c r="B306" s="16">
        <f>COUNTIF(Table2[Did you receive other information or advice during your visit today?],A306)</f>
        <v>0</v>
      </c>
      <c r="C306" s="17" t="e">
        <f t="shared" si="37"/>
        <v>#DIV/0!</v>
      </c>
      <c r="D306" s="17"/>
    </row>
    <row r="307" spans="1:4">
      <c r="A307" s="15" t="s">
        <v>39</v>
      </c>
      <c r="B307" s="16">
        <f>SUM(B303:B306)</f>
        <v>0</v>
      </c>
      <c r="C307" s="17" t="e">
        <f>SUM(C303:C306)</f>
        <v>#DIV/0!</v>
      </c>
      <c r="D307" s="17" t="e">
        <f>SUM(D303:D306)</f>
        <v>#DIV/0!</v>
      </c>
    </row>
    <row r="310" spans="1:4">
      <c r="A310" s="47" t="str">
        <f>'Validation List'!AF3</f>
        <v>Patient highlighted other areas for information or advice</v>
      </c>
      <c r="B310" s="48"/>
      <c r="C310" s="48"/>
      <c r="D310" s="49"/>
    </row>
    <row r="311" spans="1:4">
      <c r="A311" s="15"/>
      <c r="B311" s="16" t="s">
        <v>37</v>
      </c>
      <c r="C311" s="17" t="s">
        <v>38</v>
      </c>
      <c r="D311" s="17" t="s">
        <v>42</v>
      </c>
    </row>
    <row r="312" spans="1:4">
      <c r="A312" s="15" t="str">
        <f>'Validation List'!AF6</f>
        <v>Yes</v>
      </c>
      <c r="B312" s="16">
        <f>COUNTIF(Table2[Are there other areas that you would appreciate information or advice on?],A312)</f>
        <v>0</v>
      </c>
      <c r="C312" s="17" t="e">
        <f t="shared" ref="C312:C314" si="38">B312/No_in_Audit*100</f>
        <v>#DIV/0!</v>
      </c>
      <c r="D312" s="17" t="e">
        <f>B312/(No_in_Audit-COUNTIF(Table2[Are there other areas that you would appreciate information or advice on?],"Not answered"))*100</f>
        <v>#DIV/0!</v>
      </c>
    </row>
    <row r="313" spans="1:4">
      <c r="A313" s="15" t="str">
        <f>'Validation List'!AF7</f>
        <v>No</v>
      </c>
      <c r="B313" s="16">
        <f>COUNTIF(Table2[Are there other areas that you would appreciate information or advice on?],A313)</f>
        <v>0</v>
      </c>
      <c r="C313" s="17" t="e">
        <f t="shared" si="38"/>
        <v>#DIV/0!</v>
      </c>
      <c r="D313" s="17" t="e">
        <f>B313/(No_in_Audit-COUNTIF(Table2[Are there other areas that you would appreciate information or advice on?],"Not answered"))*100</f>
        <v>#DIV/0!</v>
      </c>
    </row>
    <row r="314" spans="1:4">
      <c r="A314" s="15" t="str">
        <f>'Validation List'!AF15</f>
        <v>Not answered</v>
      </c>
      <c r="B314" s="16">
        <f>COUNTIF(Table2[Are there other areas that you would appreciate information or advice on?],A314)</f>
        <v>0</v>
      </c>
      <c r="C314" s="17" t="e">
        <f t="shared" si="38"/>
        <v>#DIV/0!</v>
      </c>
      <c r="D314" s="17"/>
    </row>
    <row r="315" spans="1:4">
      <c r="A315" s="15" t="s">
        <v>39</v>
      </c>
      <c r="B315" s="16">
        <f>SUM(B312:B314)</f>
        <v>0</v>
      </c>
      <c r="C315" s="17" t="e">
        <f>SUM(C312:C314)</f>
        <v>#DIV/0!</v>
      </c>
      <c r="D315" s="17" t="e">
        <f>SUM(D312:D314)</f>
        <v>#DIV/0!</v>
      </c>
    </row>
    <row r="318" spans="1:4" ht="27.75" customHeight="1">
      <c r="A318" s="47" t="str">
        <f>'Validation List'!AG3</f>
        <v>Overall patient rating of their appointment on day of survey</v>
      </c>
      <c r="B318" s="48"/>
      <c r="C318" s="48"/>
      <c r="D318" s="49"/>
    </row>
    <row r="319" spans="1:4">
      <c r="A319" s="15"/>
      <c r="B319" s="16" t="s">
        <v>37</v>
      </c>
      <c r="C319" s="17" t="s">
        <v>38</v>
      </c>
      <c r="D319" s="17" t="s">
        <v>42</v>
      </c>
    </row>
    <row r="320" spans="1:4">
      <c r="A320" s="15" t="str">
        <f>'Validation List'!AG6</f>
        <v>Excellent</v>
      </c>
      <c r="B320" s="16">
        <f>COUNTIF(Table2[Overall, how would you rate your experience of your appointment today? Please circle one.],A320)</f>
        <v>0</v>
      </c>
      <c r="C320" s="17" t="e">
        <f t="shared" ref="C320:C325" si="39">B320/No_in_Audit*100</f>
        <v>#DIV/0!</v>
      </c>
      <c r="D320" s="17" t="e">
        <f>B320/(No_in_Audit-COUNTIF(Table2[Overall, how would you rate your experience of your appointment today? Please circle one.],"Not answered"))*100</f>
        <v>#DIV/0!</v>
      </c>
    </row>
    <row r="321" spans="1:4">
      <c r="A321" s="15" t="str">
        <f>'Validation List'!AG7</f>
        <v>Very Good</v>
      </c>
      <c r="B321" s="16">
        <f>COUNTIF(Table2[Overall, how would you rate your experience of your appointment today? Please circle one.],A321)</f>
        <v>0</v>
      </c>
      <c r="C321" s="17" t="e">
        <f t="shared" si="39"/>
        <v>#DIV/0!</v>
      </c>
      <c r="D321" s="17" t="e">
        <f>B321/(No_in_Audit-COUNTIF(Table2[Overall, how would you rate your experience of your appointment today? Please circle one.],"Not answered"))*100</f>
        <v>#DIV/0!</v>
      </c>
    </row>
    <row r="322" spans="1:4">
      <c r="A322" s="15" t="str">
        <f>'Validation List'!AG8</f>
        <v>Good</v>
      </c>
      <c r="B322" s="16">
        <f>COUNTIF(Table2[Overall, how would you rate your experience of your appointment today? Please circle one.],A322)</f>
        <v>0</v>
      </c>
      <c r="C322" s="17" t="e">
        <f t="shared" si="39"/>
        <v>#DIV/0!</v>
      </c>
      <c r="D322" s="17" t="e">
        <f>B322/(No_in_Audit-COUNTIF(Table2[Overall, how would you rate your experience of your appointment today? Please circle one.],"Not answered"))*100</f>
        <v>#DIV/0!</v>
      </c>
    </row>
    <row r="323" spans="1:4">
      <c r="A323" s="15" t="str">
        <f>'Validation List'!AG9</f>
        <v xml:space="preserve">Poor </v>
      </c>
      <c r="B323" s="16">
        <f>COUNTIF(Table2[Overall, how would you rate your experience of your appointment today? Please circle one.],A323)</f>
        <v>0</v>
      </c>
      <c r="C323" s="17" t="e">
        <f t="shared" si="39"/>
        <v>#DIV/0!</v>
      </c>
      <c r="D323" s="17" t="e">
        <f>B323/(No_in_Audit-COUNTIF(Table2[Overall, how would you rate your experience of your appointment today? Please circle one.],"Not answered"))*100</f>
        <v>#DIV/0!</v>
      </c>
    </row>
    <row r="324" spans="1:4">
      <c r="A324" s="15" t="str">
        <f>'Validation List'!AG10</f>
        <v>Very Poor</v>
      </c>
      <c r="B324" s="16">
        <f>COUNTIF(Table2[Overall, how would you rate your experience of your appointment today? Please circle one.],A324)</f>
        <v>0</v>
      </c>
      <c r="C324" s="17" t="e">
        <f t="shared" si="39"/>
        <v>#DIV/0!</v>
      </c>
      <c r="D324" s="17" t="e">
        <f>B324/(No_in_Audit-COUNTIF(Table2[Overall, how would you rate your experience of your appointment today? Please circle one.],"Not answered"))*100</f>
        <v>#DIV/0!</v>
      </c>
    </row>
    <row r="325" spans="1:4">
      <c r="A325" s="15" t="str">
        <f>'Validation List'!AG15</f>
        <v>Not answered</v>
      </c>
      <c r="B325" s="16">
        <f>COUNTIF(Table2[Overall, how would you rate your experience of your appointment today? Please circle one.],A325)</f>
        <v>0</v>
      </c>
      <c r="C325" s="17" t="e">
        <f t="shared" si="39"/>
        <v>#DIV/0!</v>
      </c>
      <c r="D325" s="17"/>
    </row>
    <row r="326" spans="1:4">
      <c r="A326" s="15" t="s">
        <v>39</v>
      </c>
      <c r="B326" s="16">
        <f>SUM(B320:B325)</f>
        <v>0</v>
      </c>
      <c r="C326" s="17" t="e">
        <f>SUM(C320:C325)</f>
        <v>#DIV/0!</v>
      </c>
      <c r="D326" s="17" t="e">
        <f>SUM(D320:D325)</f>
        <v>#DIV/0!</v>
      </c>
    </row>
    <row r="329" spans="1:4">
      <c r="A329" s="47" t="str">
        <f>'Validation List'!AH3</f>
        <v>Patient awareness of The National Healthcare Charter, ‘You and Your Health Service’</v>
      </c>
      <c r="B329" s="48"/>
      <c r="C329" s="48"/>
      <c r="D329" s="49"/>
    </row>
    <row r="330" spans="1:4">
      <c r="A330" s="15"/>
      <c r="B330" s="16" t="s">
        <v>37</v>
      </c>
      <c r="C330" s="17" t="s">
        <v>38</v>
      </c>
      <c r="D330" s="17" t="s">
        <v>42</v>
      </c>
    </row>
    <row r="331" spans="1:4">
      <c r="A331" s="15" t="str">
        <f>'Validation List'!AH6</f>
        <v>Yes</v>
      </c>
      <c r="B331" s="16">
        <f>COUNTIF(Table2[Are you aware of The National Healthcare Charter, ‘You and Your Health Service’:],A331)</f>
        <v>0</v>
      </c>
      <c r="C331" s="17" t="e">
        <f t="shared" ref="C331:C333" si="40">B331/No_in_Audit*100</f>
        <v>#DIV/0!</v>
      </c>
      <c r="D331" s="17" t="e">
        <f>B331/(No_in_Audit-COUNTIF(Table2[Are you aware of The National Healthcare Charter, ‘You and Your Health Service’:],"Not answered"))*100</f>
        <v>#DIV/0!</v>
      </c>
    </row>
    <row r="332" spans="1:4">
      <c r="A332" s="15" t="str">
        <f>'Validation List'!AH7</f>
        <v>No</v>
      </c>
      <c r="B332" s="16">
        <f>COUNTIF(Table2[Are you aware of The National Healthcare Charter, ‘You and Your Health Service’:],A332)</f>
        <v>0</v>
      </c>
      <c r="C332" s="17" t="e">
        <f t="shared" si="40"/>
        <v>#DIV/0!</v>
      </c>
      <c r="D332" s="17" t="e">
        <f>B332/(No_in_Audit-COUNTIF(Table2[Are you aware of The National Healthcare Charter, ‘You and Your Health Service’:],"Not answered"))*100</f>
        <v>#DIV/0!</v>
      </c>
    </row>
    <row r="333" spans="1:4">
      <c r="A333" s="15" t="str">
        <f>'Validation List'!AH15</f>
        <v>Not answered</v>
      </c>
      <c r="B333" s="16">
        <f>COUNTIF(Table2[Are you aware of The National Healthcare Charter, ‘You and Your Health Service’:],A333)</f>
        <v>0</v>
      </c>
      <c r="C333" s="17" t="e">
        <f t="shared" si="40"/>
        <v>#DIV/0!</v>
      </c>
      <c r="D333" s="17"/>
    </row>
    <row r="334" spans="1:4">
      <c r="A334" s="15" t="s">
        <v>39</v>
      </c>
      <c r="B334" s="16">
        <f>SUM(B331:B333)</f>
        <v>0</v>
      </c>
      <c r="C334" s="17" t="e">
        <f>SUM(C331:C333)</f>
        <v>#DIV/0!</v>
      </c>
      <c r="D334" s="17" t="e">
        <f>SUM(D331:D333)</f>
        <v>#DIV/0!</v>
      </c>
    </row>
    <row r="337" spans="1:4">
      <c r="A337" s="47" t="str">
        <f>'Validation List'!AI3</f>
        <v>Patient awareness of ‘Your Service Your Say’ (HSE Complaints Process)</v>
      </c>
      <c r="B337" s="48"/>
      <c r="C337" s="48"/>
      <c r="D337" s="49"/>
    </row>
    <row r="338" spans="1:4">
      <c r="A338" s="15"/>
      <c r="B338" s="16" t="s">
        <v>37</v>
      </c>
      <c r="C338" s="17" t="s">
        <v>38</v>
      </c>
      <c r="D338" s="17" t="s">
        <v>42</v>
      </c>
    </row>
    <row r="339" spans="1:4">
      <c r="A339" s="15" t="str">
        <f>'Validation List'!AI6</f>
        <v>Yes</v>
      </c>
      <c r="B339" s="16">
        <f>COUNTIF(Table2[Are you aware of ‘Your Service Your Say’ (HSE Complaints Process):],A339)</f>
        <v>0</v>
      </c>
      <c r="C339" s="17" t="e">
        <f t="shared" ref="C339:C341" si="41">B339/No_in_Audit*100</f>
        <v>#DIV/0!</v>
      </c>
      <c r="D339" s="17" t="e">
        <f>B339/(No_in_Audit-COUNTIF(Table2[Are you aware of ‘Your Service Your Say’ (HSE Complaints Process):],"Not answered"))*100</f>
        <v>#DIV/0!</v>
      </c>
    </row>
    <row r="340" spans="1:4">
      <c r="A340" s="15" t="str">
        <f>'Validation List'!AI7</f>
        <v>No</v>
      </c>
      <c r="B340" s="16">
        <f>COUNTIF(Table2[Are you aware of ‘Your Service Your Say’ (HSE Complaints Process):],A340)</f>
        <v>0</v>
      </c>
      <c r="C340" s="17" t="e">
        <f t="shared" si="41"/>
        <v>#DIV/0!</v>
      </c>
      <c r="D340" s="17" t="e">
        <f>B340/(No_in_Audit-COUNTIF(Table2[Are you aware of ‘Your Service Your Say’ (HSE Complaints Process):],"Not answered"))*100</f>
        <v>#DIV/0!</v>
      </c>
    </row>
    <row r="341" spans="1:4">
      <c r="A341" s="15" t="str">
        <f>'Validation List'!AI15</f>
        <v>Not answered</v>
      </c>
      <c r="B341" s="16">
        <f>COUNTIF(Table2[Are you aware of ‘Your Service Your Say’ (HSE Complaints Process):],A341)</f>
        <v>0</v>
      </c>
      <c r="C341" s="17" t="e">
        <f t="shared" si="41"/>
        <v>#DIV/0!</v>
      </c>
      <c r="D341" s="17"/>
    </row>
    <row r="342" spans="1:4">
      <c r="A342" s="15" t="s">
        <v>39</v>
      </c>
      <c r="B342" s="16">
        <f>SUM(B339:B341)</f>
        <v>0</v>
      </c>
      <c r="C342" s="17" t="e">
        <f>SUM(C339:C341)</f>
        <v>#DIV/0!</v>
      </c>
      <c r="D342" s="17" t="e">
        <f>SUM(D339:D341)</f>
        <v>#DIV/0!</v>
      </c>
    </row>
    <row r="343" spans="1:4">
      <c r="A343" s="19"/>
      <c r="B343" s="20"/>
      <c r="C343" s="21"/>
      <c r="D343" s="21"/>
    </row>
    <row r="346" spans="1:4">
      <c r="A346" s="13"/>
      <c r="D346" s="13"/>
    </row>
    <row r="347" spans="1:4">
      <c r="A347" s="13"/>
      <c r="D347" s="13"/>
    </row>
    <row r="348" spans="1:4">
      <c r="A348" s="13"/>
      <c r="D348" s="13"/>
    </row>
    <row r="349" spans="1:4">
      <c r="A349" s="13"/>
      <c r="D349" s="13"/>
    </row>
    <row r="350" spans="1:4">
      <c r="A350" s="13"/>
      <c r="D350" s="13"/>
    </row>
    <row r="351" spans="1:4">
      <c r="A351" s="13"/>
      <c r="D351" s="13"/>
    </row>
    <row r="352" spans="1:4">
      <c r="A352" s="13"/>
      <c r="D352" s="13"/>
    </row>
    <row r="353" spans="1:4">
      <c r="A353" s="13"/>
      <c r="D353" s="13"/>
    </row>
    <row r="354" spans="1:4">
      <c r="A354" s="13"/>
      <c r="D354" s="13"/>
    </row>
    <row r="355" spans="1:4">
      <c r="A355" s="13"/>
      <c r="D355" s="13"/>
    </row>
    <row r="356" spans="1:4">
      <c r="A356" s="13"/>
      <c r="D356" s="13"/>
    </row>
    <row r="357" spans="1:4">
      <c r="A357" s="13"/>
      <c r="D357" s="13"/>
    </row>
    <row r="358" spans="1:4">
      <c r="A358" s="13"/>
      <c r="D358" s="13"/>
    </row>
    <row r="359" spans="1:4">
      <c r="A359" s="13"/>
      <c r="D359" s="13"/>
    </row>
    <row r="360" spans="1:4">
      <c r="A360" s="13"/>
      <c r="D360" s="13"/>
    </row>
    <row r="361" spans="1:4">
      <c r="A361" s="13"/>
      <c r="D361" s="13"/>
    </row>
    <row r="362" spans="1:4">
      <c r="A362" s="13"/>
      <c r="D362" s="13"/>
    </row>
    <row r="363" spans="1:4">
      <c r="A363" s="13"/>
      <c r="D363" s="13"/>
    </row>
    <row r="364" spans="1:4">
      <c r="A364" s="13"/>
      <c r="D364" s="13"/>
    </row>
    <row r="365" spans="1:4">
      <c r="A365" s="13"/>
      <c r="D365" s="13"/>
    </row>
    <row r="366" spans="1:4">
      <c r="A366" s="13"/>
      <c r="D366" s="13"/>
    </row>
    <row r="367" spans="1:4">
      <c r="A367" s="13"/>
      <c r="D367" s="13"/>
    </row>
    <row r="368" spans="1:4">
      <c r="A368" s="13"/>
      <c r="D368" s="13"/>
    </row>
    <row r="369" spans="1:4">
      <c r="A369" s="13"/>
      <c r="D369" s="13"/>
    </row>
    <row r="370" spans="1:4">
      <c r="A370" s="13"/>
      <c r="D370" s="13"/>
    </row>
    <row r="371" spans="1:4">
      <c r="A371" s="13"/>
      <c r="D371" s="13"/>
    </row>
    <row r="372" spans="1:4">
      <c r="A372" s="13"/>
      <c r="D372" s="13"/>
    </row>
    <row r="373" spans="1:4">
      <c r="A373" s="13"/>
      <c r="D373" s="13"/>
    </row>
    <row r="374" spans="1:4">
      <c r="A374" s="13"/>
      <c r="D374" s="13"/>
    </row>
    <row r="375" spans="1:4">
      <c r="A375" s="13"/>
      <c r="D375" s="13"/>
    </row>
    <row r="376" spans="1:4">
      <c r="A376" s="13"/>
      <c r="D376" s="13"/>
    </row>
    <row r="377" spans="1:4">
      <c r="A377" s="13"/>
      <c r="D377" s="13"/>
    </row>
    <row r="378" spans="1:4">
      <c r="A378" s="13"/>
      <c r="D378" s="13"/>
    </row>
    <row r="379" spans="1:4">
      <c r="A379" s="13"/>
      <c r="D379" s="13"/>
    </row>
    <row r="380" spans="1:4">
      <c r="A380" s="13"/>
      <c r="D380" s="13"/>
    </row>
    <row r="381" spans="1:4">
      <c r="A381" s="13"/>
      <c r="D381" s="13"/>
    </row>
    <row r="382" spans="1:4">
      <c r="A382" s="13"/>
      <c r="D382" s="13"/>
    </row>
    <row r="383" spans="1:4">
      <c r="A383" s="13"/>
      <c r="D383" s="13"/>
    </row>
    <row r="384" spans="1:4">
      <c r="A384" s="13"/>
      <c r="D384" s="13"/>
    </row>
    <row r="385" spans="1:8">
      <c r="A385" s="13"/>
      <c r="D385" s="13"/>
    </row>
    <row r="386" spans="1:8">
      <c r="A386" s="13"/>
      <c r="D386" s="13"/>
    </row>
    <row r="387" spans="1:8">
      <c r="A387" s="13"/>
      <c r="D387" s="13"/>
    </row>
    <row r="388" spans="1:8">
      <c r="A388" s="13"/>
      <c r="D388" s="13"/>
    </row>
    <row r="389" spans="1:8">
      <c r="A389" s="13"/>
      <c r="D389" s="13"/>
    </row>
    <row r="390" spans="1:8">
      <c r="A390" s="13"/>
      <c r="D390" s="13"/>
    </row>
    <row r="391" spans="1:8">
      <c r="A391" s="13"/>
      <c r="D391" s="13"/>
    </row>
    <row r="392" spans="1:8">
      <c r="A392" s="13"/>
      <c r="D392" s="13"/>
    </row>
    <row r="393" spans="1:8">
      <c r="A393" s="13"/>
      <c r="D393" s="13"/>
    </row>
    <row r="394" spans="1:8">
      <c r="B394" s="18"/>
      <c r="C394" s="23"/>
      <c r="D394" s="18"/>
      <c r="E394" s="18"/>
      <c r="F394" s="18"/>
      <c r="G394" s="18"/>
      <c r="H394" s="18"/>
    </row>
    <row r="395" spans="1:8">
      <c r="A395" s="13"/>
      <c r="D395" s="13"/>
    </row>
    <row r="396" spans="1:8">
      <c r="A396" s="13"/>
      <c r="D396" s="13"/>
    </row>
    <row r="397" spans="1:8">
      <c r="A397" s="13"/>
      <c r="D397" s="13"/>
    </row>
    <row r="398" spans="1:8">
      <c r="A398" s="13"/>
      <c r="D398" s="13"/>
    </row>
    <row r="399" spans="1:8">
      <c r="A399" s="13"/>
      <c r="D399" s="13"/>
    </row>
    <row r="400" spans="1:8">
      <c r="A400" s="13"/>
      <c r="D400" s="13"/>
    </row>
    <row r="401" spans="1:4">
      <c r="A401" s="13"/>
      <c r="D401" s="13"/>
    </row>
    <row r="402" spans="1:4">
      <c r="A402" s="13"/>
      <c r="D402" s="13"/>
    </row>
    <row r="403" spans="1:4">
      <c r="A403" s="13"/>
      <c r="D403" s="13"/>
    </row>
    <row r="404" spans="1:4">
      <c r="A404" s="13"/>
      <c r="D404" s="13"/>
    </row>
    <row r="405" spans="1:4">
      <c r="A405" s="13"/>
      <c r="D405" s="13"/>
    </row>
    <row r="406" spans="1:4">
      <c r="A406" s="13"/>
      <c r="D406" s="13"/>
    </row>
    <row r="407" spans="1:4">
      <c r="A407" s="13"/>
      <c r="D407" s="13"/>
    </row>
    <row r="408" spans="1:4">
      <c r="A408" s="13"/>
      <c r="D408" s="13"/>
    </row>
    <row r="409" spans="1:4">
      <c r="A409" s="13"/>
      <c r="D409" s="13"/>
    </row>
    <row r="410" spans="1:4">
      <c r="A410" s="13"/>
      <c r="D410" s="13"/>
    </row>
    <row r="411" spans="1:4">
      <c r="A411" s="13"/>
      <c r="D411" s="13"/>
    </row>
    <row r="412" spans="1:4">
      <c r="A412" s="13"/>
      <c r="D412" s="13"/>
    </row>
    <row r="413" spans="1:4">
      <c r="A413" s="13"/>
      <c r="D413" s="13"/>
    </row>
    <row r="414" spans="1:4">
      <c r="A414" s="13"/>
      <c r="D414" s="13"/>
    </row>
    <row r="415" spans="1:4">
      <c r="A415" s="13"/>
      <c r="D415" s="13"/>
    </row>
    <row r="416" spans="1:4">
      <c r="A416" s="13"/>
      <c r="D416" s="13"/>
    </row>
    <row r="417" spans="1:4">
      <c r="A417" s="13"/>
      <c r="D417" s="13"/>
    </row>
    <row r="418" spans="1:4">
      <c r="A418" s="13"/>
      <c r="D418" s="13"/>
    </row>
    <row r="419" spans="1:4">
      <c r="A419" s="13"/>
      <c r="D419" s="13"/>
    </row>
    <row r="420" spans="1:4">
      <c r="A420" s="13"/>
      <c r="D420" s="13"/>
    </row>
    <row r="421" spans="1:4">
      <c r="A421" s="13"/>
      <c r="D421" s="13"/>
    </row>
    <row r="422" spans="1:4">
      <c r="A422" s="13"/>
      <c r="D422" s="13"/>
    </row>
    <row r="423" spans="1:4">
      <c r="A423" s="13"/>
      <c r="D423" s="13"/>
    </row>
    <row r="424" spans="1:4">
      <c r="A424" s="13"/>
      <c r="D424" s="13"/>
    </row>
    <row r="425" spans="1:4">
      <c r="A425" s="13"/>
      <c r="D425" s="13"/>
    </row>
    <row r="426" spans="1:4">
      <c r="A426" s="13"/>
      <c r="D426" s="13"/>
    </row>
    <row r="427" spans="1:4">
      <c r="A427" s="13"/>
      <c r="D427" s="13"/>
    </row>
    <row r="428" spans="1:4">
      <c r="A428" s="13"/>
      <c r="D428" s="13"/>
    </row>
    <row r="429" spans="1:4">
      <c r="A429" s="13"/>
      <c r="D429" s="13"/>
    </row>
    <row r="430" spans="1:4">
      <c r="A430" s="13"/>
      <c r="D430" s="13"/>
    </row>
    <row r="431" spans="1:4">
      <c r="A431" s="13"/>
      <c r="D431" s="13"/>
    </row>
    <row r="432" spans="1:4">
      <c r="A432" s="13"/>
      <c r="D432" s="13"/>
    </row>
    <row r="433" spans="1:4">
      <c r="A433" s="13"/>
      <c r="D433" s="13"/>
    </row>
    <row r="434" spans="1:4">
      <c r="A434" s="13"/>
      <c r="D434" s="13"/>
    </row>
    <row r="435" spans="1:4">
      <c r="A435" s="13"/>
      <c r="D435" s="13"/>
    </row>
    <row r="436" spans="1:4">
      <c r="A436" s="13"/>
      <c r="D436" s="13"/>
    </row>
    <row r="437" spans="1:4">
      <c r="A437" s="13"/>
      <c r="D437" s="13"/>
    </row>
    <row r="438" spans="1:4">
      <c r="A438" s="13"/>
      <c r="D438" s="13"/>
    </row>
    <row r="439" spans="1:4">
      <c r="A439" s="13"/>
      <c r="D439" s="13"/>
    </row>
    <row r="440" spans="1:4">
      <c r="A440" s="13"/>
      <c r="D440" s="13"/>
    </row>
    <row r="441" spans="1:4">
      <c r="A441" s="13"/>
      <c r="D441" s="13"/>
    </row>
    <row r="442" spans="1:4">
      <c r="A442" s="13"/>
      <c r="D442" s="13"/>
    </row>
    <row r="443" spans="1:4">
      <c r="A443" s="13"/>
      <c r="D443" s="13"/>
    </row>
    <row r="444" spans="1:4">
      <c r="A444" s="13"/>
      <c r="D444" s="13"/>
    </row>
    <row r="445" spans="1:4">
      <c r="A445" s="13"/>
      <c r="D445" s="13"/>
    </row>
    <row r="446" spans="1:4">
      <c r="A446" s="13"/>
      <c r="D446" s="13"/>
    </row>
    <row r="447" spans="1:4">
      <c r="A447" s="13"/>
      <c r="D447" s="13"/>
    </row>
    <row r="448" spans="1:4">
      <c r="A448" s="13"/>
      <c r="D448" s="13"/>
    </row>
    <row r="449" spans="1:4">
      <c r="A449" s="13"/>
      <c r="D449" s="13"/>
    </row>
    <row r="450" spans="1:4">
      <c r="A450" s="13"/>
      <c r="D450" s="13"/>
    </row>
    <row r="451" spans="1:4">
      <c r="A451" s="13"/>
      <c r="D451" s="13"/>
    </row>
    <row r="452" spans="1:4">
      <c r="A452" s="13"/>
      <c r="D452" s="13"/>
    </row>
    <row r="453" spans="1:4">
      <c r="A453" s="13"/>
      <c r="D453" s="13"/>
    </row>
    <row r="454" spans="1:4">
      <c r="A454" s="13"/>
      <c r="D454" s="13"/>
    </row>
    <row r="455" spans="1:4">
      <c r="A455" s="13"/>
      <c r="D455" s="13"/>
    </row>
    <row r="456" spans="1:4">
      <c r="A456" s="13"/>
      <c r="D456" s="13"/>
    </row>
    <row r="457" spans="1:4">
      <c r="A457" s="13"/>
      <c r="D457" s="13"/>
    </row>
    <row r="458" spans="1:4">
      <c r="A458" s="13"/>
      <c r="D458" s="13"/>
    </row>
    <row r="459" spans="1:4">
      <c r="A459" s="13"/>
      <c r="D459" s="13"/>
    </row>
    <row r="460" spans="1:4">
      <c r="A460" s="13"/>
      <c r="D460" s="13"/>
    </row>
    <row r="461" spans="1:4">
      <c r="A461" s="13"/>
      <c r="D461" s="13"/>
    </row>
    <row r="462" spans="1:4">
      <c r="A462" s="13"/>
      <c r="D462" s="13"/>
    </row>
    <row r="463" spans="1:4">
      <c r="A463" s="13"/>
      <c r="D463" s="13"/>
    </row>
    <row r="464" spans="1:4">
      <c r="A464" s="13"/>
      <c r="D464" s="13"/>
    </row>
    <row r="465" spans="1:4">
      <c r="A465" s="13"/>
      <c r="D465" s="13"/>
    </row>
    <row r="466" spans="1:4">
      <c r="A466" s="13"/>
      <c r="D466" s="13"/>
    </row>
    <row r="467" spans="1:4">
      <c r="A467" s="13"/>
      <c r="D467" s="13"/>
    </row>
    <row r="468" spans="1:4">
      <c r="A468" s="13"/>
      <c r="D468" s="13"/>
    </row>
    <row r="469" spans="1:4">
      <c r="A469" s="13"/>
      <c r="D469" s="13"/>
    </row>
    <row r="470" spans="1:4">
      <c r="A470" s="13"/>
      <c r="D470" s="13"/>
    </row>
    <row r="471" spans="1:4">
      <c r="A471" s="13"/>
      <c r="D471" s="13"/>
    </row>
    <row r="472" spans="1:4">
      <c r="A472" s="13"/>
      <c r="D472" s="13"/>
    </row>
    <row r="473" spans="1:4">
      <c r="A473" s="13"/>
      <c r="D473" s="13"/>
    </row>
    <row r="474" spans="1:4">
      <c r="A474" s="13"/>
      <c r="D474" s="13"/>
    </row>
    <row r="475" spans="1:4">
      <c r="A475" s="13"/>
      <c r="D475" s="13"/>
    </row>
    <row r="476" spans="1:4">
      <c r="A476" s="13"/>
      <c r="D476" s="13"/>
    </row>
    <row r="477" spans="1:4">
      <c r="A477" s="13"/>
      <c r="D477" s="13"/>
    </row>
    <row r="478" spans="1:4">
      <c r="A478" s="13"/>
      <c r="D478" s="13"/>
    </row>
    <row r="479" spans="1:4">
      <c r="A479" s="13"/>
      <c r="D479" s="13"/>
    </row>
    <row r="480" spans="1:4">
      <c r="A480" s="13"/>
      <c r="D480" s="13"/>
    </row>
    <row r="481" spans="1:4">
      <c r="A481" s="13"/>
      <c r="D481" s="13"/>
    </row>
    <row r="482" spans="1:4">
      <c r="A482" s="13"/>
      <c r="D482" s="13"/>
    </row>
    <row r="483" spans="1:4">
      <c r="A483" s="13"/>
      <c r="D483" s="13"/>
    </row>
    <row r="484" spans="1:4">
      <c r="A484" s="13"/>
      <c r="D484" s="13"/>
    </row>
    <row r="485" spans="1:4">
      <c r="A485" s="13"/>
      <c r="D485" s="13"/>
    </row>
    <row r="486" spans="1:4">
      <c r="A486" s="13"/>
      <c r="D486" s="13"/>
    </row>
    <row r="487" spans="1:4">
      <c r="A487" s="13"/>
      <c r="D487" s="13"/>
    </row>
    <row r="488" spans="1:4">
      <c r="A488" s="13"/>
      <c r="D488" s="13"/>
    </row>
    <row r="489" spans="1:4">
      <c r="A489" s="13"/>
      <c r="D489" s="13"/>
    </row>
    <row r="490" spans="1:4">
      <c r="A490" s="13"/>
      <c r="D490" s="13"/>
    </row>
    <row r="491" spans="1:4">
      <c r="A491" s="13"/>
      <c r="D491" s="13"/>
    </row>
    <row r="492" spans="1:4">
      <c r="A492" s="13"/>
      <c r="D492" s="13"/>
    </row>
    <row r="493" spans="1:4">
      <c r="A493" s="13"/>
      <c r="D493" s="13"/>
    </row>
    <row r="494" spans="1:4">
      <c r="A494" s="13"/>
      <c r="D494" s="13"/>
    </row>
    <row r="495" spans="1:4">
      <c r="A495" s="13"/>
      <c r="D495" s="13"/>
    </row>
    <row r="496" spans="1:4">
      <c r="A496" s="13"/>
      <c r="D496" s="13"/>
    </row>
    <row r="497" spans="1:4">
      <c r="A497" s="13"/>
      <c r="D497" s="13"/>
    </row>
    <row r="498" spans="1:4">
      <c r="A498" s="13"/>
      <c r="D498" s="13"/>
    </row>
    <row r="499" spans="1:4">
      <c r="A499" s="13"/>
      <c r="D499" s="13"/>
    </row>
    <row r="500" spans="1:4">
      <c r="A500" s="13"/>
      <c r="D500" s="13"/>
    </row>
    <row r="501" spans="1:4">
      <c r="A501" s="13"/>
      <c r="D501" s="13"/>
    </row>
    <row r="502" spans="1:4">
      <c r="A502" s="13"/>
      <c r="D502" s="13"/>
    </row>
    <row r="503" spans="1:4">
      <c r="A503" s="13"/>
      <c r="D503" s="13"/>
    </row>
    <row r="504" spans="1:4">
      <c r="A504" s="13"/>
      <c r="D504" s="13"/>
    </row>
    <row r="505" spans="1:4">
      <c r="A505" s="13"/>
      <c r="D505" s="13"/>
    </row>
    <row r="506" spans="1:4">
      <c r="A506" s="13"/>
      <c r="D506" s="13"/>
    </row>
    <row r="507" spans="1:4">
      <c r="A507" s="13"/>
      <c r="D507" s="13"/>
    </row>
    <row r="508" spans="1:4">
      <c r="A508" s="13"/>
      <c r="D508" s="13"/>
    </row>
    <row r="509" spans="1:4">
      <c r="A509" s="13"/>
      <c r="D509" s="13"/>
    </row>
    <row r="510" spans="1:4">
      <c r="A510" s="13"/>
      <c r="D510" s="13"/>
    </row>
    <row r="511" spans="1:4">
      <c r="A511" s="13"/>
      <c r="D511" s="13"/>
    </row>
    <row r="512" spans="1:4">
      <c r="A512" s="13"/>
      <c r="D512" s="13"/>
    </row>
    <row r="513" spans="1:4">
      <c r="A513" s="13"/>
      <c r="D513" s="13"/>
    </row>
    <row r="514" spans="1:4">
      <c r="A514" s="13"/>
      <c r="D514" s="13"/>
    </row>
    <row r="515" spans="1:4">
      <c r="A515" s="13"/>
      <c r="D515" s="13"/>
    </row>
    <row r="516" spans="1:4">
      <c r="A516" s="13"/>
      <c r="D516" s="13"/>
    </row>
    <row r="517" spans="1:4">
      <c r="A517" s="13"/>
      <c r="D517" s="13"/>
    </row>
    <row r="518" spans="1:4">
      <c r="A518" s="13"/>
      <c r="D518" s="13"/>
    </row>
    <row r="519" spans="1:4">
      <c r="A519" s="13"/>
      <c r="D519" s="13"/>
    </row>
    <row r="520" spans="1:4">
      <c r="A520" s="13"/>
      <c r="D520" s="13"/>
    </row>
    <row r="521" spans="1:4">
      <c r="A521" s="13"/>
      <c r="D521" s="13"/>
    </row>
    <row r="522" spans="1:4">
      <c r="A522" s="13"/>
      <c r="D522" s="13"/>
    </row>
    <row r="523" spans="1:4">
      <c r="A523" s="13"/>
      <c r="D523" s="13"/>
    </row>
    <row r="524" spans="1:4">
      <c r="A524" s="13"/>
      <c r="D524" s="13"/>
    </row>
    <row r="525" spans="1:4">
      <c r="A525" s="13"/>
      <c r="D525" s="13"/>
    </row>
    <row r="526" spans="1:4">
      <c r="A526" s="13"/>
      <c r="D526" s="13"/>
    </row>
    <row r="527" spans="1:4">
      <c r="A527" s="13"/>
      <c r="D527" s="13"/>
    </row>
    <row r="528" spans="1:4">
      <c r="A528" s="13"/>
      <c r="D528" s="13"/>
    </row>
    <row r="529" spans="1:4">
      <c r="A529" s="13"/>
      <c r="D529" s="13"/>
    </row>
    <row r="530" spans="1:4">
      <c r="A530" s="13"/>
      <c r="D530" s="13"/>
    </row>
    <row r="531" spans="1:4">
      <c r="A531" s="13"/>
      <c r="D531" s="13"/>
    </row>
    <row r="532" spans="1:4">
      <c r="A532" s="13"/>
      <c r="D532" s="13"/>
    </row>
    <row r="533" spans="1:4">
      <c r="A533" s="13"/>
      <c r="D533" s="13"/>
    </row>
    <row r="534" spans="1:4">
      <c r="A534" s="13"/>
      <c r="D534" s="13"/>
    </row>
    <row r="535" spans="1:4">
      <c r="A535" s="13"/>
      <c r="D535" s="13"/>
    </row>
    <row r="536" spans="1:4">
      <c r="A536" s="13"/>
      <c r="D536" s="13"/>
    </row>
    <row r="537" spans="1:4">
      <c r="A537" s="13"/>
      <c r="D537" s="13"/>
    </row>
    <row r="538" spans="1:4">
      <c r="A538" s="13"/>
      <c r="D538" s="13"/>
    </row>
    <row r="539" spans="1:4">
      <c r="A539" s="13"/>
      <c r="D539" s="13"/>
    </row>
    <row r="540" spans="1:4">
      <c r="A540" s="13"/>
      <c r="D540" s="13"/>
    </row>
    <row r="541" spans="1:4">
      <c r="A541" s="13"/>
      <c r="D541" s="13"/>
    </row>
    <row r="542" spans="1:4">
      <c r="A542" s="13"/>
      <c r="D542" s="13"/>
    </row>
    <row r="543" spans="1:4">
      <c r="A543" s="13"/>
      <c r="D543" s="13"/>
    </row>
    <row r="544" spans="1:4">
      <c r="A544" s="13"/>
      <c r="D544" s="13"/>
    </row>
    <row r="545" spans="1:4">
      <c r="A545" s="13"/>
      <c r="D545" s="13"/>
    </row>
    <row r="546" spans="1:4">
      <c r="A546" s="13"/>
      <c r="D546" s="13"/>
    </row>
    <row r="547" spans="1:4">
      <c r="A547" s="13"/>
      <c r="D547" s="13"/>
    </row>
    <row r="548" spans="1:4">
      <c r="A548" s="13"/>
      <c r="D548" s="13"/>
    </row>
    <row r="549" spans="1:4">
      <c r="A549" s="13"/>
      <c r="D549" s="13"/>
    </row>
    <row r="550" spans="1:4">
      <c r="A550" s="13"/>
      <c r="D550" s="13"/>
    </row>
    <row r="551" spans="1:4">
      <c r="A551" s="13"/>
      <c r="D551" s="13"/>
    </row>
    <row r="552" spans="1:4">
      <c r="A552" s="13"/>
      <c r="D552" s="13"/>
    </row>
    <row r="553" spans="1:4">
      <c r="A553" s="13"/>
      <c r="D553" s="13"/>
    </row>
    <row r="554" spans="1:4">
      <c r="A554" s="13"/>
      <c r="D554" s="13"/>
    </row>
    <row r="555" spans="1:4">
      <c r="A555" s="13"/>
      <c r="D555" s="13"/>
    </row>
    <row r="556" spans="1:4">
      <c r="A556" s="13"/>
      <c r="D556" s="13"/>
    </row>
    <row r="557" spans="1:4">
      <c r="A557" s="13"/>
      <c r="D557" s="13"/>
    </row>
    <row r="558" spans="1:4">
      <c r="A558" s="13"/>
      <c r="D558" s="13"/>
    </row>
    <row r="559" spans="1:4">
      <c r="A559" s="13"/>
      <c r="D559" s="13"/>
    </row>
    <row r="560" spans="1:4">
      <c r="A560" s="13"/>
      <c r="D560" s="13"/>
    </row>
    <row r="561" spans="1:4">
      <c r="A561" s="13"/>
      <c r="D561" s="13"/>
    </row>
    <row r="562" spans="1:4">
      <c r="A562" s="13"/>
      <c r="D562" s="13"/>
    </row>
    <row r="563" spans="1:4">
      <c r="A563" s="13"/>
      <c r="D563" s="13"/>
    </row>
    <row r="564" spans="1:4">
      <c r="A564" s="13"/>
      <c r="D564" s="13"/>
    </row>
    <row r="565" spans="1:4">
      <c r="A565" s="13"/>
      <c r="D565" s="13"/>
    </row>
    <row r="566" spans="1:4">
      <c r="A566" s="13"/>
      <c r="D566" s="13"/>
    </row>
    <row r="567" spans="1:4">
      <c r="A567" s="13"/>
      <c r="D567" s="13"/>
    </row>
    <row r="568" spans="1:4">
      <c r="A568" s="13"/>
      <c r="D568" s="13"/>
    </row>
    <row r="569" spans="1:4">
      <c r="A569" s="13"/>
      <c r="D569" s="13"/>
    </row>
    <row r="570" spans="1:4">
      <c r="A570" s="13"/>
      <c r="D570" s="13"/>
    </row>
    <row r="571" spans="1:4">
      <c r="A571" s="13"/>
      <c r="D571" s="13"/>
    </row>
    <row r="572" spans="1:4">
      <c r="A572" s="13"/>
      <c r="D572" s="13"/>
    </row>
    <row r="573" spans="1:4">
      <c r="A573" s="13"/>
      <c r="D573" s="13"/>
    </row>
    <row r="574" spans="1:4">
      <c r="A574" s="13"/>
      <c r="D574" s="13"/>
    </row>
    <row r="575" spans="1:4">
      <c r="A575" s="13"/>
      <c r="D575" s="13"/>
    </row>
    <row r="576" spans="1:4">
      <c r="A576" s="13"/>
      <c r="D576" s="13"/>
    </row>
    <row r="577" spans="1:4">
      <c r="A577" s="13"/>
      <c r="D577" s="13"/>
    </row>
    <row r="578" spans="1:4">
      <c r="A578" s="13"/>
      <c r="D578" s="13"/>
    </row>
    <row r="579" spans="1:4">
      <c r="A579" s="13"/>
      <c r="D579" s="13"/>
    </row>
    <row r="580" spans="1:4">
      <c r="A580" s="13"/>
      <c r="D580" s="13"/>
    </row>
    <row r="581" spans="1:4">
      <c r="A581" s="13"/>
      <c r="D581" s="13"/>
    </row>
    <row r="582" spans="1:4">
      <c r="A582" s="13"/>
      <c r="D582" s="13"/>
    </row>
    <row r="583" spans="1:4">
      <c r="A583" s="13"/>
      <c r="D583" s="13"/>
    </row>
    <row r="584" spans="1:4">
      <c r="A584" s="13"/>
      <c r="D584" s="13"/>
    </row>
    <row r="585" spans="1:4">
      <c r="A585" s="13"/>
      <c r="D585" s="13"/>
    </row>
    <row r="586" spans="1:4">
      <c r="A586" s="13"/>
      <c r="D586" s="13"/>
    </row>
    <row r="587" spans="1:4">
      <c r="A587" s="13"/>
      <c r="D587" s="13"/>
    </row>
    <row r="588" spans="1:4">
      <c r="A588" s="13"/>
      <c r="D588" s="13"/>
    </row>
    <row r="589" spans="1:4">
      <c r="A589" s="13"/>
      <c r="D589" s="13"/>
    </row>
    <row r="590" spans="1:4">
      <c r="A590" s="13"/>
      <c r="D590" s="13"/>
    </row>
    <row r="591" spans="1:4">
      <c r="A591" s="13"/>
      <c r="D591" s="13"/>
    </row>
    <row r="592" spans="1:4">
      <c r="A592" s="13"/>
      <c r="D592" s="13"/>
    </row>
    <row r="593" spans="1:4">
      <c r="A593" s="13"/>
      <c r="D593" s="13"/>
    </row>
    <row r="594" spans="1:4">
      <c r="A594" s="13"/>
      <c r="D594" s="13"/>
    </row>
    <row r="595" spans="1:4">
      <c r="A595" s="13"/>
      <c r="D595" s="13"/>
    </row>
    <row r="596" spans="1:4">
      <c r="A596" s="13"/>
      <c r="D596" s="13"/>
    </row>
    <row r="597" spans="1:4">
      <c r="A597" s="13"/>
      <c r="D597" s="13"/>
    </row>
    <row r="598" spans="1:4">
      <c r="A598" s="13"/>
      <c r="D598" s="13"/>
    </row>
    <row r="599" spans="1:4">
      <c r="A599" s="13"/>
      <c r="D599" s="13"/>
    </row>
    <row r="600" spans="1:4">
      <c r="A600" s="13"/>
      <c r="D600" s="13"/>
    </row>
    <row r="601" spans="1:4">
      <c r="A601" s="13"/>
      <c r="D601" s="13"/>
    </row>
    <row r="602" spans="1:4">
      <c r="A602" s="13"/>
      <c r="D602" s="13"/>
    </row>
    <row r="603" spans="1:4">
      <c r="A603" s="13"/>
      <c r="D603" s="13"/>
    </row>
    <row r="604" spans="1:4">
      <c r="A604" s="13"/>
      <c r="D604" s="13"/>
    </row>
    <row r="605" spans="1:4">
      <c r="A605" s="13"/>
      <c r="D605" s="13"/>
    </row>
    <row r="606" spans="1:4">
      <c r="A606" s="13"/>
      <c r="D606" s="13"/>
    </row>
    <row r="607" spans="1:4">
      <c r="A607" s="13"/>
      <c r="D607" s="13"/>
    </row>
    <row r="608" spans="1:4">
      <c r="A608" s="13"/>
      <c r="D608" s="13"/>
    </row>
    <row r="609" spans="1:4">
      <c r="A609" s="13"/>
      <c r="D609" s="13"/>
    </row>
    <row r="610" spans="1:4">
      <c r="A610" s="13"/>
      <c r="D610" s="13"/>
    </row>
    <row r="611" spans="1:4">
      <c r="A611" s="13"/>
      <c r="D611" s="13"/>
    </row>
    <row r="612" spans="1:4">
      <c r="A612" s="13"/>
      <c r="D612" s="13"/>
    </row>
    <row r="613" spans="1:4">
      <c r="A613" s="13"/>
      <c r="D613" s="13"/>
    </row>
    <row r="614" spans="1:4">
      <c r="A614" s="13"/>
      <c r="D614" s="13"/>
    </row>
    <row r="615" spans="1:4">
      <c r="A615" s="13"/>
      <c r="D615" s="13"/>
    </row>
    <row r="616" spans="1:4">
      <c r="A616" s="13"/>
      <c r="D616" s="13"/>
    </row>
    <row r="617" spans="1:4">
      <c r="A617" s="13"/>
      <c r="D617" s="13"/>
    </row>
    <row r="618" spans="1:4">
      <c r="A618" s="13"/>
      <c r="D618" s="13"/>
    </row>
    <row r="619" spans="1:4">
      <c r="A619" s="13"/>
      <c r="D619" s="13"/>
    </row>
    <row r="620" spans="1:4">
      <c r="A620" s="13"/>
      <c r="D620" s="13"/>
    </row>
    <row r="621" spans="1:4">
      <c r="A621" s="13"/>
      <c r="D621" s="13"/>
    </row>
    <row r="622" spans="1:4">
      <c r="A622" s="13"/>
      <c r="D622" s="13"/>
    </row>
    <row r="623" spans="1:4">
      <c r="A623" s="13"/>
      <c r="D623" s="13"/>
    </row>
    <row r="624" spans="1:4">
      <c r="A624" s="13"/>
      <c r="D624" s="13"/>
    </row>
    <row r="625" spans="1:4">
      <c r="A625" s="13"/>
      <c r="D625" s="13"/>
    </row>
    <row r="626" spans="1:4">
      <c r="A626" s="13"/>
      <c r="D626" s="13"/>
    </row>
    <row r="627" spans="1:4">
      <c r="A627" s="13"/>
      <c r="D627" s="13"/>
    </row>
    <row r="628" spans="1:4">
      <c r="A628" s="13"/>
      <c r="D628" s="13"/>
    </row>
    <row r="629" spans="1:4">
      <c r="A629" s="13"/>
      <c r="D629" s="13"/>
    </row>
    <row r="630" spans="1:4">
      <c r="A630" s="13"/>
      <c r="D630" s="13"/>
    </row>
    <row r="631" spans="1:4">
      <c r="A631" s="13"/>
      <c r="D631" s="13"/>
    </row>
    <row r="632" spans="1:4">
      <c r="A632" s="13"/>
      <c r="D632" s="13"/>
    </row>
    <row r="633" spans="1:4">
      <c r="A633" s="13"/>
      <c r="D633" s="13"/>
    </row>
    <row r="634" spans="1:4">
      <c r="A634" s="13"/>
      <c r="D634" s="13"/>
    </row>
    <row r="635" spans="1:4">
      <c r="A635" s="13"/>
      <c r="D635" s="13"/>
    </row>
    <row r="636" spans="1:4">
      <c r="A636" s="13"/>
      <c r="D636" s="13"/>
    </row>
    <row r="637" spans="1:4">
      <c r="A637" s="13"/>
      <c r="D637" s="13"/>
    </row>
    <row r="638" spans="1:4">
      <c r="A638" s="13"/>
      <c r="D638" s="13"/>
    </row>
    <row r="639" spans="1:4">
      <c r="A639" s="13"/>
      <c r="D639" s="13"/>
    </row>
    <row r="640" spans="1:4">
      <c r="A640" s="13"/>
      <c r="D640" s="13"/>
    </row>
    <row r="641" spans="1:4">
      <c r="A641" s="13"/>
      <c r="D641" s="13"/>
    </row>
    <row r="642" spans="1:4">
      <c r="A642" s="13"/>
      <c r="D642" s="13"/>
    </row>
    <row r="643" spans="1:4">
      <c r="A643" s="13"/>
      <c r="D643" s="13"/>
    </row>
    <row r="644" spans="1:4">
      <c r="A644" s="13"/>
      <c r="D644" s="13"/>
    </row>
    <row r="645" spans="1:4">
      <c r="A645" s="13"/>
      <c r="D645" s="13"/>
    </row>
    <row r="646" spans="1:4">
      <c r="A646" s="13"/>
      <c r="D646" s="13"/>
    </row>
    <row r="647" spans="1:4">
      <c r="A647" s="13"/>
      <c r="D647" s="13"/>
    </row>
    <row r="648" spans="1:4">
      <c r="A648" s="13"/>
      <c r="D648" s="13"/>
    </row>
    <row r="649" spans="1:4">
      <c r="A649" s="13"/>
      <c r="D649" s="13"/>
    </row>
    <row r="650" spans="1:4">
      <c r="A650" s="13"/>
      <c r="D650" s="13"/>
    </row>
    <row r="651" spans="1:4">
      <c r="A651" s="13"/>
      <c r="D651" s="13"/>
    </row>
    <row r="652" spans="1:4">
      <c r="A652" s="13"/>
      <c r="D652" s="13"/>
    </row>
    <row r="653" spans="1:4">
      <c r="A653" s="13"/>
      <c r="D653" s="13"/>
    </row>
    <row r="654" spans="1:4">
      <c r="A654" s="13"/>
      <c r="D654" s="13"/>
    </row>
    <row r="655" spans="1:4">
      <c r="A655" s="13"/>
      <c r="D655" s="13"/>
    </row>
    <row r="656" spans="1:4">
      <c r="A656" s="13"/>
      <c r="D656" s="13"/>
    </row>
    <row r="657" spans="1:4">
      <c r="A657" s="13"/>
      <c r="D657" s="13"/>
    </row>
    <row r="658" spans="1:4">
      <c r="A658" s="13"/>
      <c r="D658" s="13"/>
    </row>
    <row r="659" spans="1:4">
      <c r="A659" s="13"/>
      <c r="D659" s="13"/>
    </row>
    <row r="660" spans="1:4">
      <c r="A660" s="13"/>
      <c r="D660" s="13"/>
    </row>
    <row r="661" spans="1:4">
      <c r="A661" s="13"/>
      <c r="D661" s="13"/>
    </row>
    <row r="662" spans="1:4">
      <c r="A662" s="13"/>
      <c r="D662" s="13"/>
    </row>
    <row r="663" spans="1:4">
      <c r="A663" s="13"/>
      <c r="D663" s="13"/>
    </row>
    <row r="664" spans="1:4">
      <c r="A664" s="13"/>
      <c r="D664" s="13"/>
    </row>
    <row r="665" spans="1:4">
      <c r="A665" s="13"/>
      <c r="D665" s="13"/>
    </row>
    <row r="666" spans="1:4">
      <c r="A666" s="13"/>
      <c r="D666" s="13"/>
    </row>
    <row r="667" spans="1:4">
      <c r="A667" s="13"/>
      <c r="D667" s="13"/>
    </row>
    <row r="668" spans="1:4">
      <c r="A668" s="13"/>
      <c r="D668" s="13"/>
    </row>
    <row r="669" spans="1:4">
      <c r="A669" s="13"/>
      <c r="D669" s="13"/>
    </row>
    <row r="670" spans="1:4">
      <c r="A670" s="13"/>
      <c r="D670" s="13"/>
    </row>
    <row r="671" spans="1:4">
      <c r="A671" s="13"/>
      <c r="D671" s="13"/>
    </row>
    <row r="672" spans="1:4">
      <c r="A672" s="13"/>
      <c r="D672" s="13"/>
    </row>
    <row r="673" spans="1:4">
      <c r="A673" s="13"/>
      <c r="D673" s="13"/>
    </row>
    <row r="674" spans="1:4">
      <c r="A674" s="13"/>
      <c r="D674" s="13"/>
    </row>
    <row r="675" spans="1:4">
      <c r="A675" s="13"/>
      <c r="D675" s="13"/>
    </row>
    <row r="676" spans="1:4">
      <c r="A676" s="13"/>
      <c r="D676" s="13"/>
    </row>
    <row r="677" spans="1:4">
      <c r="A677" s="13"/>
      <c r="D677" s="13"/>
    </row>
    <row r="678" spans="1:4">
      <c r="A678" s="13"/>
      <c r="D678" s="13"/>
    </row>
    <row r="679" spans="1:4">
      <c r="A679" s="13"/>
      <c r="D679" s="13"/>
    </row>
    <row r="680" spans="1:4">
      <c r="A680" s="13"/>
      <c r="D680" s="13"/>
    </row>
    <row r="681" spans="1:4">
      <c r="A681" s="13"/>
      <c r="D681" s="13"/>
    </row>
    <row r="682" spans="1:4">
      <c r="A682" s="13"/>
      <c r="D682" s="13"/>
    </row>
    <row r="683" spans="1:4">
      <c r="A683" s="13"/>
      <c r="D683" s="13"/>
    </row>
    <row r="684" spans="1:4">
      <c r="A684" s="13"/>
      <c r="D684" s="13"/>
    </row>
    <row r="685" spans="1:4">
      <c r="A685" s="13"/>
      <c r="D685" s="13"/>
    </row>
    <row r="686" spans="1:4">
      <c r="A686" s="13"/>
      <c r="D686" s="13"/>
    </row>
    <row r="687" spans="1:4">
      <c r="A687" s="13"/>
      <c r="D687" s="13"/>
    </row>
    <row r="688" spans="1:4">
      <c r="A688" s="13"/>
      <c r="D688" s="13"/>
    </row>
    <row r="689" spans="1:4">
      <c r="A689" s="13"/>
      <c r="D689" s="13"/>
    </row>
    <row r="690" spans="1:4">
      <c r="A690" s="13"/>
      <c r="D690" s="13"/>
    </row>
    <row r="691" spans="1:4">
      <c r="A691" s="13"/>
      <c r="D691" s="13"/>
    </row>
    <row r="692" spans="1:4">
      <c r="A692" s="13"/>
      <c r="D692" s="13"/>
    </row>
    <row r="693" spans="1:4">
      <c r="A693" s="13"/>
      <c r="D693" s="13"/>
    </row>
    <row r="694" spans="1:4">
      <c r="A694" s="13"/>
      <c r="D694" s="13"/>
    </row>
    <row r="695" spans="1:4">
      <c r="A695" s="13"/>
      <c r="D695" s="13"/>
    </row>
    <row r="696" spans="1:4">
      <c r="A696" s="13"/>
      <c r="D696" s="13"/>
    </row>
    <row r="697" spans="1:4">
      <c r="A697" s="13"/>
      <c r="D697" s="13"/>
    </row>
    <row r="698" spans="1:4">
      <c r="A698" s="13"/>
      <c r="D698" s="13"/>
    </row>
    <row r="699" spans="1:4">
      <c r="A699" s="13"/>
      <c r="D699" s="13"/>
    </row>
    <row r="700" spans="1:4">
      <c r="A700" s="13"/>
      <c r="D700" s="13"/>
    </row>
    <row r="701" spans="1:4">
      <c r="A701" s="13"/>
      <c r="D701" s="13"/>
    </row>
    <row r="702" spans="1:4">
      <c r="A702" s="13"/>
      <c r="D702" s="13"/>
    </row>
    <row r="703" spans="1:4">
      <c r="A703" s="13"/>
      <c r="D703" s="13"/>
    </row>
    <row r="704" spans="1:4">
      <c r="A704" s="13"/>
      <c r="D704" s="13"/>
    </row>
    <row r="705" spans="1:4">
      <c r="A705" s="13"/>
      <c r="D705" s="13"/>
    </row>
    <row r="706" spans="1:4">
      <c r="A706" s="13"/>
      <c r="D706" s="13"/>
    </row>
    <row r="707" spans="1:4">
      <c r="A707" s="13"/>
      <c r="D707" s="13"/>
    </row>
    <row r="708" spans="1:4">
      <c r="A708" s="13"/>
      <c r="D708" s="13"/>
    </row>
    <row r="709" spans="1:4">
      <c r="A709" s="13"/>
      <c r="D709" s="13"/>
    </row>
    <row r="710" spans="1:4">
      <c r="A710" s="13"/>
      <c r="D710" s="13"/>
    </row>
    <row r="711" spans="1:4">
      <c r="A711" s="13"/>
      <c r="D711" s="13"/>
    </row>
    <row r="712" spans="1:4">
      <c r="A712" s="13"/>
      <c r="D712" s="13"/>
    </row>
    <row r="713" spans="1:4">
      <c r="A713" s="13"/>
      <c r="D713" s="13"/>
    </row>
    <row r="714" spans="1:4">
      <c r="A714" s="13"/>
      <c r="D714" s="13"/>
    </row>
    <row r="715" spans="1:4">
      <c r="A715" s="13"/>
      <c r="D715" s="13"/>
    </row>
    <row r="716" spans="1:4">
      <c r="A716" s="13"/>
      <c r="D716" s="13"/>
    </row>
    <row r="717" spans="1:4">
      <c r="A717" s="13"/>
      <c r="D717" s="13"/>
    </row>
    <row r="718" spans="1:4">
      <c r="A718" s="13"/>
      <c r="D718" s="13"/>
    </row>
    <row r="719" spans="1:4">
      <c r="A719" s="13"/>
      <c r="D719" s="13"/>
    </row>
    <row r="720" spans="1:4">
      <c r="A720" s="13"/>
      <c r="D720" s="13"/>
    </row>
    <row r="721" spans="1:4">
      <c r="A721" s="13"/>
      <c r="D721" s="13"/>
    </row>
    <row r="722" spans="1:4">
      <c r="A722" s="13"/>
      <c r="D722" s="13"/>
    </row>
    <row r="723" spans="1:4">
      <c r="A723" s="13"/>
      <c r="D723" s="13"/>
    </row>
    <row r="724" spans="1:4">
      <c r="A724" s="13"/>
      <c r="D724" s="13"/>
    </row>
    <row r="725" spans="1:4">
      <c r="A725" s="13"/>
      <c r="D725" s="13"/>
    </row>
    <row r="726" spans="1:4">
      <c r="A726" s="13"/>
      <c r="D726" s="13"/>
    </row>
    <row r="727" spans="1:4">
      <c r="A727" s="13"/>
      <c r="D727" s="13"/>
    </row>
    <row r="728" spans="1:4">
      <c r="A728" s="13"/>
      <c r="D728" s="13"/>
    </row>
    <row r="729" spans="1:4">
      <c r="A729" s="13"/>
      <c r="D729" s="13"/>
    </row>
    <row r="730" spans="1:4">
      <c r="A730" s="13"/>
      <c r="D730" s="13"/>
    </row>
    <row r="731" spans="1:4">
      <c r="A731" s="13"/>
      <c r="D731" s="13"/>
    </row>
    <row r="732" spans="1:4">
      <c r="A732" s="13"/>
      <c r="D732" s="13"/>
    </row>
    <row r="733" spans="1:4">
      <c r="A733" s="13"/>
      <c r="D733" s="13"/>
    </row>
    <row r="734" spans="1:4">
      <c r="A734" s="13"/>
      <c r="D734" s="13"/>
    </row>
    <row r="735" spans="1:4">
      <c r="A735" s="13"/>
      <c r="D735" s="13"/>
    </row>
    <row r="736" spans="1:4">
      <c r="A736" s="13"/>
      <c r="D736" s="13"/>
    </row>
    <row r="737" spans="1:4">
      <c r="A737" s="13"/>
      <c r="D737" s="13"/>
    </row>
    <row r="738" spans="1:4">
      <c r="A738" s="13"/>
      <c r="D738" s="13"/>
    </row>
    <row r="739" spans="1:4">
      <c r="A739" s="13"/>
      <c r="D739" s="13"/>
    </row>
    <row r="740" spans="1:4">
      <c r="A740" s="13"/>
      <c r="D740" s="13"/>
    </row>
    <row r="741" spans="1:4">
      <c r="A741" s="13"/>
      <c r="D741" s="13"/>
    </row>
    <row r="742" spans="1:4">
      <c r="A742" s="13"/>
      <c r="D742" s="13"/>
    </row>
    <row r="743" spans="1:4">
      <c r="A743" s="13"/>
      <c r="D743" s="13"/>
    </row>
    <row r="744" spans="1:4">
      <c r="A744" s="13"/>
      <c r="D744" s="13"/>
    </row>
    <row r="745" spans="1:4">
      <c r="A745" s="13"/>
      <c r="D745" s="13"/>
    </row>
    <row r="746" spans="1:4">
      <c r="A746" s="13"/>
      <c r="D746" s="13"/>
    </row>
    <row r="747" spans="1:4">
      <c r="A747" s="13"/>
      <c r="D747" s="13"/>
    </row>
    <row r="748" spans="1:4">
      <c r="A748" s="13"/>
      <c r="D748" s="13"/>
    </row>
    <row r="749" spans="1:4">
      <c r="A749" s="13"/>
      <c r="D749" s="13"/>
    </row>
    <row r="750" spans="1:4">
      <c r="A750" s="13"/>
      <c r="D750" s="13"/>
    </row>
    <row r="751" spans="1:4">
      <c r="A751" s="13"/>
      <c r="D751" s="13"/>
    </row>
    <row r="752" spans="1:4">
      <c r="A752" s="13"/>
      <c r="D752" s="13"/>
    </row>
    <row r="753" spans="1:4">
      <c r="A753" s="13"/>
      <c r="D753" s="13"/>
    </row>
    <row r="754" spans="1:4">
      <c r="A754" s="13"/>
      <c r="D754" s="13"/>
    </row>
    <row r="755" spans="1:4">
      <c r="A755" s="13"/>
      <c r="D755" s="13"/>
    </row>
    <row r="756" spans="1:4">
      <c r="A756" s="13"/>
      <c r="D756" s="13"/>
    </row>
    <row r="757" spans="1:4">
      <c r="A757" s="13"/>
      <c r="D757" s="13"/>
    </row>
    <row r="758" spans="1:4">
      <c r="A758" s="13"/>
      <c r="D758" s="13"/>
    </row>
    <row r="759" spans="1:4">
      <c r="A759" s="13"/>
      <c r="D759" s="13"/>
    </row>
    <row r="760" spans="1:4">
      <c r="A760" s="13"/>
      <c r="D760" s="13"/>
    </row>
    <row r="761" spans="1:4">
      <c r="A761" s="13"/>
      <c r="D761" s="13"/>
    </row>
    <row r="762" spans="1:4">
      <c r="A762" s="13"/>
      <c r="D762" s="13"/>
    </row>
    <row r="763" spans="1:4">
      <c r="A763" s="13"/>
      <c r="D763" s="13"/>
    </row>
    <row r="764" spans="1:4">
      <c r="A764" s="13"/>
      <c r="D764" s="13"/>
    </row>
    <row r="765" spans="1:4">
      <c r="A765" s="13"/>
      <c r="D765" s="13"/>
    </row>
    <row r="766" spans="1:4">
      <c r="A766" s="13"/>
      <c r="D766" s="13"/>
    </row>
    <row r="767" spans="1:4">
      <c r="A767" s="13"/>
      <c r="D767" s="13"/>
    </row>
    <row r="768" spans="1:4">
      <c r="A768" s="13"/>
      <c r="D768" s="13"/>
    </row>
    <row r="769" spans="1:4">
      <c r="A769" s="13"/>
      <c r="D769" s="13"/>
    </row>
    <row r="770" spans="1:4">
      <c r="A770" s="13"/>
      <c r="D770" s="13"/>
    </row>
    <row r="771" spans="1:4">
      <c r="A771" s="13"/>
      <c r="D771" s="13"/>
    </row>
    <row r="772" spans="1:4">
      <c r="A772" s="13"/>
      <c r="D772" s="13"/>
    </row>
    <row r="773" spans="1:4">
      <c r="A773" s="13"/>
      <c r="D773" s="13"/>
    </row>
    <row r="774" spans="1:4">
      <c r="A774" s="13"/>
      <c r="D774" s="13"/>
    </row>
    <row r="775" spans="1:4">
      <c r="A775" s="13"/>
      <c r="D775" s="13"/>
    </row>
    <row r="776" spans="1:4">
      <c r="A776" s="13"/>
      <c r="D776" s="13"/>
    </row>
    <row r="777" spans="1:4">
      <c r="A777" s="13"/>
      <c r="D777" s="13"/>
    </row>
    <row r="778" spans="1:4">
      <c r="A778" s="13"/>
      <c r="D778" s="13"/>
    </row>
    <row r="779" spans="1:4">
      <c r="A779" s="13"/>
      <c r="D779" s="13"/>
    </row>
    <row r="780" spans="1:4">
      <c r="A780" s="13"/>
      <c r="D780" s="13"/>
    </row>
    <row r="781" spans="1:4">
      <c r="A781" s="13"/>
      <c r="D781" s="13"/>
    </row>
    <row r="782" spans="1:4">
      <c r="A782" s="13"/>
      <c r="D782" s="13"/>
    </row>
    <row r="783" spans="1:4">
      <c r="A783" s="13"/>
      <c r="D783" s="13"/>
    </row>
    <row r="784" spans="1:4">
      <c r="A784" s="13"/>
      <c r="D784" s="13"/>
    </row>
    <row r="785" spans="1:4">
      <c r="A785" s="13"/>
      <c r="D785" s="13"/>
    </row>
    <row r="786" spans="1:4">
      <c r="A786" s="13"/>
      <c r="D786" s="13"/>
    </row>
    <row r="787" spans="1:4">
      <c r="A787" s="13"/>
      <c r="D787" s="13"/>
    </row>
    <row r="788" spans="1:4">
      <c r="A788" s="13"/>
      <c r="D788" s="13"/>
    </row>
    <row r="789" spans="1:4">
      <c r="A789" s="13"/>
      <c r="D789" s="13"/>
    </row>
    <row r="790" spans="1:4">
      <c r="A790" s="13"/>
      <c r="D790" s="13"/>
    </row>
    <row r="791" spans="1:4">
      <c r="A791" s="13"/>
      <c r="D791" s="13"/>
    </row>
    <row r="792" spans="1:4">
      <c r="A792" s="13"/>
      <c r="D792" s="13"/>
    </row>
    <row r="793" spans="1:4">
      <c r="A793" s="13"/>
      <c r="D793" s="13"/>
    </row>
    <row r="794" spans="1:4">
      <c r="A794" s="13"/>
      <c r="D794" s="13"/>
    </row>
    <row r="795" spans="1:4">
      <c r="A795" s="13"/>
      <c r="D795" s="13"/>
    </row>
    <row r="796" spans="1:4">
      <c r="A796" s="13"/>
      <c r="D796" s="13"/>
    </row>
    <row r="797" spans="1:4">
      <c r="A797" s="13"/>
      <c r="D797" s="13"/>
    </row>
    <row r="798" spans="1:4">
      <c r="A798" s="13"/>
      <c r="D798" s="13"/>
    </row>
    <row r="799" spans="1:4">
      <c r="A799" s="13"/>
      <c r="D799" s="13"/>
    </row>
    <row r="800" spans="1:4">
      <c r="A800" s="13"/>
      <c r="D800" s="13"/>
    </row>
    <row r="801" spans="1:4">
      <c r="A801" s="13"/>
      <c r="D801" s="13"/>
    </row>
    <row r="802" spans="1:4">
      <c r="A802" s="13"/>
      <c r="D802" s="13"/>
    </row>
    <row r="803" spans="1:4">
      <c r="A803" s="13"/>
      <c r="D803" s="13"/>
    </row>
    <row r="804" spans="1:4">
      <c r="A804" s="13"/>
      <c r="D804" s="13"/>
    </row>
    <row r="805" spans="1:4">
      <c r="A805" s="13"/>
      <c r="D805" s="13"/>
    </row>
    <row r="806" spans="1:4">
      <c r="A806" s="13"/>
      <c r="D806" s="13"/>
    </row>
    <row r="807" spans="1:4">
      <c r="A807" s="13"/>
      <c r="D807" s="13"/>
    </row>
    <row r="808" spans="1:4">
      <c r="A808" s="13"/>
      <c r="D808" s="13"/>
    </row>
    <row r="809" spans="1:4">
      <c r="A809" s="13"/>
      <c r="D809" s="13"/>
    </row>
    <row r="810" spans="1:4">
      <c r="A810" s="13"/>
      <c r="D810" s="13"/>
    </row>
    <row r="811" spans="1:4">
      <c r="A811" s="13"/>
      <c r="D811" s="13"/>
    </row>
    <row r="812" spans="1:4">
      <c r="A812" s="13"/>
      <c r="D812" s="13"/>
    </row>
    <row r="813" spans="1:4">
      <c r="A813" s="13"/>
      <c r="D813" s="13"/>
    </row>
    <row r="814" spans="1:4">
      <c r="A814" s="13"/>
      <c r="D814" s="13"/>
    </row>
    <row r="815" spans="1:4">
      <c r="A815" s="13"/>
      <c r="D815" s="13"/>
    </row>
    <row r="816" spans="1:4">
      <c r="A816" s="13"/>
      <c r="D816" s="13"/>
    </row>
    <row r="817" spans="1:4">
      <c r="A817" s="13"/>
      <c r="D817" s="13"/>
    </row>
    <row r="818" spans="1:4">
      <c r="A818" s="13"/>
      <c r="D818" s="13"/>
    </row>
    <row r="819" spans="1:4">
      <c r="A819" s="13"/>
      <c r="D819" s="13"/>
    </row>
    <row r="820" spans="1:4">
      <c r="A820" s="13"/>
      <c r="D820" s="13"/>
    </row>
    <row r="821" spans="1:4">
      <c r="A821" s="13"/>
      <c r="D821" s="13"/>
    </row>
    <row r="822" spans="1:4">
      <c r="A822" s="13"/>
      <c r="D822" s="13"/>
    </row>
    <row r="823" spans="1:4">
      <c r="A823" s="13"/>
      <c r="D823" s="13"/>
    </row>
    <row r="824" spans="1:4">
      <c r="A824" s="13"/>
      <c r="D824" s="13"/>
    </row>
    <row r="825" spans="1:4">
      <c r="A825" s="13"/>
      <c r="D825" s="13"/>
    </row>
    <row r="826" spans="1:4">
      <c r="A826" s="13"/>
      <c r="D826" s="13"/>
    </row>
    <row r="827" spans="1:4">
      <c r="A827" s="13"/>
      <c r="D827" s="13"/>
    </row>
    <row r="828" spans="1:4">
      <c r="A828" s="13"/>
      <c r="D828" s="13"/>
    </row>
    <row r="829" spans="1:4">
      <c r="A829" s="13"/>
      <c r="D829" s="13"/>
    </row>
    <row r="830" spans="1:4">
      <c r="A830" s="13"/>
      <c r="D830" s="13"/>
    </row>
    <row r="831" spans="1:4">
      <c r="A831" s="13"/>
      <c r="D831" s="13"/>
    </row>
    <row r="832" spans="1:4">
      <c r="A832" s="13"/>
      <c r="D832" s="13"/>
    </row>
    <row r="833" spans="1:4">
      <c r="A833" s="13"/>
      <c r="D833" s="13"/>
    </row>
    <row r="834" spans="1:4">
      <c r="A834" s="13"/>
      <c r="D834" s="13"/>
    </row>
    <row r="835" spans="1:4">
      <c r="A835" s="13"/>
      <c r="D835" s="13"/>
    </row>
    <row r="836" spans="1:4">
      <c r="A836" s="13"/>
      <c r="D836" s="13"/>
    </row>
    <row r="837" spans="1:4">
      <c r="A837" s="13"/>
      <c r="D837" s="13"/>
    </row>
    <row r="838" spans="1:4">
      <c r="A838" s="13"/>
      <c r="D838" s="13"/>
    </row>
    <row r="839" spans="1:4">
      <c r="A839" s="13"/>
      <c r="D839" s="13"/>
    </row>
    <row r="840" spans="1:4">
      <c r="A840" s="13"/>
      <c r="D840" s="13"/>
    </row>
    <row r="841" spans="1:4">
      <c r="A841" s="13"/>
      <c r="D841" s="13"/>
    </row>
    <row r="842" spans="1:4">
      <c r="A842" s="13"/>
      <c r="D842" s="13"/>
    </row>
    <row r="843" spans="1:4">
      <c r="A843" s="13"/>
      <c r="D843" s="13"/>
    </row>
    <row r="844" spans="1:4">
      <c r="A844" s="13"/>
      <c r="D844" s="13"/>
    </row>
    <row r="845" spans="1:4">
      <c r="A845" s="13"/>
      <c r="D845" s="13"/>
    </row>
    <row r="846" spans="1:4">
      <c r="A846" s="13"/>
      <c r="D846" s="13"/>
    </row>
    <row r="847" spans="1:4">
      <c r="A847" s="13"/>
      <c r="D847" s="13"/>
    </row>
    <row r="848" spans="1:4">
      <c r="A848" s="13"/>
      <c r="D848" s="13"/>
    </row>
    <row r="849" spans="1:4">
      <c r="A849" s="13"/>
      <c r="D849" s="13"/>
    </row>
    <row r="850" spans="1:4">
      <c r="A850" s="13"/>
      <c r="D850" s="13"/>
    </row>
    <row r="851" spans="1:4">
      <c r="A851" s="13"/>
      <c r="D851" s="13"/>
    </row>
    <row r="852" spans="1:4">
      <c r="A852" s="13"/>
      <c r="D852" s="13"/>
    </row>
    <row r="853" spans="1:4">
      <c r="A853" s="13"/>
      <c r="D853" s="13"/>
    </row>
    <row r="854" spans="1:4">
      <c r="A854" s="13"/>
      <c r="D854" s="13"/>
    </row>
    <row r="855" spans="1:4">
      <c r="A855" s="13"/>
      <c r="D855" s="13"/>
    </row>
    <row r="856" spans="1:4">
      <c r="A856" s="13"/>
      <c r="D856" s="13"/>
    </row>
    <row r="857" spans="1:4">
      <c r="A857" s="13"/>
      <c r="D857" s="13"/>
    </row>
    <row r="858" spans="1:4">
      <c r="A858" s="13"/>
      <c r="D858" s="13"/>
    </row>
    <row r="859" spans="1:4">
      <c r="A859" s="13"/>
      <c r="D859" s="13"/>
    </row>
    <row r="860" spans="1:4">
      <c r="A860" s="13"/>
      <c r="D860" s="13"/>
    </row>
    <row r="861" spans="1:4">
      <c r="A861" s="13"/>
      <c r="D861" s="13"/>
    </row>
    <row r="862" spans="1:4">
      <c r="A862" s="13"/>
      <c r="D862" s="13"/>
    </row>
    <row r="863" spans="1:4">
      <c r="A863" s="13"/>
      <c r="D863" s="13"/>
    </row>
    <row r="864" spans="1:4">
      <c r="A864" s="13"/>
      <c r="D864" s="13"/>
    </row>
    <row r="865" spans="1:4">
      <c r="A865" s="13"/>
      <c r="D865" s="13"/>
    </row>
    <row r="866" spans="1:4">
      <c r="A866" s="13"/>
      <c r="D866" s="13"/>
    </row>
    <row r="867" spans="1:4">
      <c r="A867" s="13"/>
      <c r="D867" s="13"/>
    </row>
    <row r="868" spans="1:4">
      <c r="A868" s="13"/>
      <c r="D868" s="13"/>
    </row>
    <row r="869" spans="1:4">
      <c r="A869" s="13"/>
      <c r="D869" s="13"/>
    </row>
    <row r="870" spans="1:4">
      <c r="A870" s="13"/>
      <c r="D870" s="13"/>
    </row>
    <row r="871" spans="1:4">
      <c r="A871" s="13"/>
      <c r="D871" s="13"/>
    </row>
    <row r="872" spans="1:4">
      <c r="A872" s="13"/>
      <c r="D872" s="13"/>
    </row>
    <row r="873" spans="1:4">
      <c r="A873" s="13"/>
      <c r="D873" s="13"/>
    </row>
    <row r="874" spans="1:4">
      <c r="A874" s="13"/>
      <c r="D874" s="13"/>
    </row>
    <row r="875" spans="1:4">
      <c r="A875" s="13"/>
      <c r="D875" s="13"/>
    </row>
    <row r="876" spans="1:4">
      <c r="A876" s="13"/>
      <c r="D876" s="13"/>
    </row>
    <row r="877" spans="1:4">
      <c r="A877" s="13"/>
      <c r="D877" s="13"/>
    </row>
    <row r="878" spans="1:4">
      <c r="A878" s="13"/>
      <c r="D878" s="13"/>
    </row>
    <row r="879" spans="1:4">
      <c r="A879" s="13"/>
      <c r="D879" s="13"/>
    </row>
    <row r="880" spans="1:4">
      <c r="A880" s="13"/>
      <c r="D880" s="13"/>
    </row>
    <row r="881" spans="1:4">
      <c r="A881" s="13"/>
      <c r="D881" s="13"/>
    </row>
    <row r="882" spans="1:4">
      <c r="A882" s="13"/>
      <c r="D882" s="13"/>
    </row>
    <row r="883" spans="1:4">
      <c r="A883" s="13"/>
      <c r="D883" s="13"/>
    </row>
    <row r="884" spans="1:4">
      <c r="A884" s="13"/>
      <c r="D884" s="13"/>
    </row>
    <row r="885" spans="1:4">
      <c r="A885" s="13"/>
      <c r="D885" s="13"/>
    </row>
    <row r="886" spans="1:4">
      <c r="A886" s="13"/>
      <c r="D886" s="13"/>
    </row>
    <row r="887" spans="1:4">
      <c r="A887" s="13"/>
      <c r="D887" s="13"/>
    </row>
    <row r="888" spans="1:4">
      <c r="A888" s="13"/>
      <c r="D888" s="13"/>
    </row>
    <row r="889" spans="1:4">
      <c r="A889" s="13"/>
      <c r="D889" s="13"/>
    </row>
    <row r="890" spans="1:4">
      <c r="A890" s="13"/>
      <c r="D890" s="13"/>
    </row>
    <row r="891" spans="1:4">
      <c r="A891" s="13"/>
      <c r="D891" s="13"/>
    </row>
    <row r="892" spans="1:4">
      <c r="A892" s="13"/>
      <c r="D892" s="13"/>
    </row>
    <row r="893" spans="1:4">
      <c r="A893" s="13"/>
      <c r="D893" s="13"/>
    </row>
    <row r="894" spans="1:4">
      <c r="A894" s="13"/>
      <c r="D894" s="13"/>
    </row>
    <row r="895" spans="1:4">
      <c r="A895" s="13"/>
      <c r="D895" s="13"/>
    </row>
    <row r="896" spans="1:4">
      <c r="A896" s="13"/>
      <c r="D896" s="13"/>
    </row>
    <row r="897" spans="1:4">
      <c r="A897" s="13"/>
      <c r="D897" s="13"/>
    </row>
    <row r="898" spans="1:4">
      <c r="A898" s="13"/>
      <c r="D898" s="13"/>
    </row>
    <row r="899" spans="1:4">
      <c r="A899" s="13"/>
      <c r="D899" s="13"/>
    </row>
    <row r="900" spans="1:4">
      <c r="A900" s="13"/>
      <c r="D900" s="13"/>
    </row>
    <row r="901" spans="1:4">
      <c r="A901" s="13"/>
      <c r="D901" s="13"/>
    </row>
    <row r="902" spans="1:4">
      <c r="A902" s="13"/>
      <c r="D902" s="13"/>
    </row>
    <row r="903" spans="1:4">
      <c r="A903" s="13"/>
      <c r="D903" s="13"/>
    </row>
    <row r="904" spans="1:4">
      <c r="A904" s="13"/>
      <c r="D904" s="13"/>
    </row>
    <row r="905" spans="1:4">
      <c r="A905" s="13"/>
      <c r="D905" s="13"/>
    </row>
    <row r="906" spans="1:4">
      <c r="A906" s="13"/>
      <c r="D906" s="13"/>
    </row>
    <row r="907" spans="1:4">
      <c r="A907" s="13"/>
      <c r="D907" s="13"/>
    </row>
    <row r="908" spans="1:4">
      <c r="A908" s="13"/>
      <c r="D908" s="13"/>
    </row>
    <row r="909" spans="1:4">
      <c r="A909" s="13"/>
      <c r="D909" s="13"/>
    </row>
    <row r="910" spans="1:4">
      <c r="A910" s="13"/>
      <c r="D910" s="13"/>
    </row>
    <row r="911" spans="1:4">
      <c r="A911" s="13"/>
      <c r="D911" s="13"/>
    </row>
    <row r="912" spans="1:4">
      <c r="A912" s="13"/>
      <c r="D912" s="13"/>
    </row>
    <row r="913" spans="1:4">
      <c r="A913" s="13"/>
      <c r="D913" s="13"/>
    </row>
    <row r="914" spans="1:4">
      <c r="A914" s="13"/>
      <c r="D914" s="13"/>
    </row>
    <row r="915" spans="1:4">
      <c r="A915" s="13"/>
      <c r="D915" s="13"/>
    </row>
    <row r="916" spans="1:4">
      <c r="A916" s="13"/>
      <c r="D916" s="13"/>
    </row>
    <row r="917" spans="1:4">
      <c r="A917" s="13"/>
      <c r="D917" s="13"/>
    </row>
    <row r="918" spans="1:4">
      <c r="A918" s="13"/>
      <c r="D918" s="13"/>
    </row>
  </sheetData>
  <sheetProtection sheet="1" objects="1" scenarios="1"/>
  <mergeCells count="40">
    <mergeCell ref="B6:D6"/>
    <mergeCell ref="A9:D9"/>
    <mergeCell ref="A18:D18"/>
    <mergeCell ref="A30:D30"/>
    <mergeCell ref="A1:D1"/>
    <mergeCell ref="B2:D2"/>
    <mergeCell ref="B3:D3"/>
    <mergeCell ref="B4:D4"/>
    <mergeCell ref="B5:D5"/>
    <mergeCell ref="A45:D45"/>
    <mergeCell ref="A142:D142"/>
    <mergeCell ref="A186:D186"/>
    <mergeCell ref="A195:D195"/>
    <mergeCell ref="A204:D204"/>
    <mergeCell ref="A122:D122"/>
    <mergeCell ref="A133:D133"/>
    <mergeCell ref="A54:D54"/>
    <mergeCell ref="A65:D65"/>
    <mergeCell ref="A88:D88"/>
    <mergeCell ref="A101:D101"/>
    <mergeCell ref="A111:D111"/>
    <mergeCell ref="A212:D212"/>
    <mergeCell ref="A152:D152"/>
    <mergeCell ref="A161:D161"/>
    <mergeCell ref="A170:D170"/>
    <mergeCell ref="A178:D178"/>
    <mergeCell ref="A220:D220"/>
    <mergeCell ref="A329:D329"/>
    <mergeCell ref="A337:D337"/>
    <mergeCell ref="A229:D229"/>
    <mergeCell ref="A238:D238"/>
    <mergeCell ref="A247:D247"/>
    <mergeCell ref="A256:D256"/>
    <mergeCell ref="A265:D265"/>
    <mergeCell ref="A274:D274"/>
    <mergeCell ref="A283:D283"/>
    <mergeCell ref="A292:D292"/>
    <mergeCell ref="A301:D301"/>
    <mergeCell ref="A310:D310"/>
    <mergeCell ref="A318:D318"/>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dimension ref="A1:K17"/>
  <sheetViews>
    <sheetView workbookViewId="0">
      <selection activeCell="D3" sqref="D3:E5"/>
    </sheetView>
  </sheetViews>
  <sheetFormatPr defaultRowHeight="15"/>
  <cols>
    <col min="1" max="1" width="25.85546875" customWidth="1"/>
    <col min="2" max="2" width="24.5703125" customWidth="1"/>
    <col min="3" max="3" width="12.85546875" customWidth="1"/>
    <col min="4" max="4" width="12.42578125" customWidth="1"/>
    <col min="5" max="6" width="11.140625" customWidth="1"/>
    <col min="7" max="7" width="10.140625" customWidth="1"/>
    <col min="8" max="8" width="21.7109375" customWidth="1"/>
  </cols>
  <sheetData>
    <row r="1" spans="1:11">
      <c r="A1" s="46" t="str">
        <f>'Survey Tool'!A1</f>
        <v>Survey of Patient Experience 2017</v>
      </c>
      <c r="B1" s="46"/>
    </row>
    <row r="2" spans="1:11">
      <c r="A2" s="4" t="str">
        <f>'Survey Tool'!A2</f>
        <v>CHO Area</v>
      </c>
      <c r="B2" s="11">
        <f>'Survey Tool'!C2</f>
        <v>0</v>
      </c>
      <c r="C2" s="29"/>
      <c r="D2" s="58" t="s">
        <v>333</v>
      </c>
      <c r="E2" s="59"/>
      <c r="F2" s="30"/>
      <c r="G2" s="29"/>
      <c r="H2" s="29"/>
      <c r="I2" s="31"/>
      <c r="J2" s="31"/>
      <c r="K2" s="31"/>
    </row>
    <row r="3" spans="1:11" ht="15" customHeight="1">
      <c r="A3" s="4" t="str">
        <f>'Survey Tool'!A3</f>
        <v>Primary Care Centre</v>
      </c>
      <c r="B3" s="11">
        <f>'Survey Tool'!C3</f>
        <v>0</v>
      </c>
      <c r="C3" s="29"/>
      <c r="D3" s="32" t="s">
        <v>334</v>
      </c>
      <c r="E3" s="33">
        <v>50</v>
      </c>
      <c r="F3" s="30"/>
      <c r="G3" s="29"/>
      <c r="H3" s="29"/>
      <c r="I3" s="31"/>
      <c r="J3" s="31"/>
      <c r="K3" s="31"/>
    </row>
    <row r="4" spans="1:11">
      <c r="A4" s="4" t="str">
        <f>'Survey Tool'!A4</f>
        <v>Data Entry by</v>
      </c>
      <c r="B4" s="11">
        <f>'Survey Tool'!C4</f>
        <v>0</v>
      </c>
      <c r="C4" s="29"/>
      <c r="D4" s="32" t="s">
        <v>335</v>
      </c>
      <c r="E4" s="33">
        <v>20</v>
      </c>
      <c r="F4" s="30"/>
      <c r="G4" s="29"/>
      <c r="H4" s="29"/>
      <c r="I4" s="31"/>
      <c r="J4" s="31"/>
      <c r="K4" s="31"/>
    </row>
    <row r="5" spans="1:11">
      <c r="A5" s="4" t="str">
        <f>'Survey Tool'!A5</f>
        <v>Date of Survey</v>
      </c>
      <c r="B5" s="11">
        <f>'Survey Tool'!C5</f>
        <v>0</v>
      </c>
      <c r="C5" s="29"/>
      <c r="D5" s="34" t="s">
        <v>336</v>
      </c>
      <c r="E5" s="33">
        <v>30</v>
      </c>
      <c r="F5" s="30"/>
      <c r="G5" s="29"/>
      <c r="H5" s="29"/>
      <c r="I5" s="31"/>
      <c r="J5" s="31"/>
      <c r="K5" s="31"/>
    </row>
    <row r="6" spans="1:11" ht="16.5" customHeight="1">
      <c r="A6" s="4" t="str">
        <f>'Survey Tool'!A6</f>
        <v>No in Survey</v>
      </c>
      <c r="B6" s="11">
        <f>'Survey Tool'!C6</f>
        <v>0</v>
      </c>
      <c r="C6" s="29"/>
      <c r="D6" s="29"/>
      <c r="E6" s="30"/>
      <c r="F6" s="30"/>
      <c r="G6" s="29"/>
      <c r="H6" s="29"/>
      <c r="I6" s="31"/>
      <c r="J6" s="31"/>
      <c r="K6" s="31"/>
    </row>
    <row r="7" spans="1:11" ht="61.5" customHeight="1">
      <c r="A7" s="4" t="s">
        <v>337</v>
      </c>
      <c r="B7" s="12"/>
      <c r="C7" s="29"/>
      <c r="D7" s="29"/>
      <c r="E7" s="30"/>
      <c r="F7" s="30"/>
      <c r="G7" s="29"/>
      <c r="H7" s="29"/>
      <c r="I7" s="31"/>
      <c r="J7" s="31"/>
      <c r="K7" s="31"/>
    </row>
    <row r="8" spans="1:11" ht="29.25" customHeight="1">
      <c r="A8" s="35"/>
      <c r="B8" s="30"/>
      <c r="C8" s="29"/>
      <c r="D8" s="29"/>
      <c r="E8" s="30"/>
      <c r="F8" s="30"/>
      <c r="G8" s="29"/>
      <c r="H8" s="29"/>
      <c r="I8" s="31"/>
      <c r="J8" s="31"/>
      <c r="K8" s="31"/>
    </row>
    <row r="9" spans="1:11" ht="30" customHeight="1">
      <c r="A9" s="36" t="s">
        <v>338</v>
      </c>
      <c r="B9" s="36" t="s">
        <v>339</v>
      </c>
      <c r="C9" s="36" t="s">
        <v>340</v>
      </c>
      <c r="D9" s="36" t="s">
        <v>341</v>
      </c>
      <c r="E9" s="36" t="s">
        <v>342</v>
      </c>
      <c r="F9" s="36" t="s">
        <v>343</v>
      </c>
      <c r="G9" s="36" t="s">
        <v>344</v>
      </c>
      <c r="H9" s="36" t="s">
        <v>345</v>
      </c>
      <c r="I9" s="2"/>
      <c r="J9" s="2"/>
    </row>
    <row r="10" spans="1:11" s="1" customFormat="1" ht="33.75" customHeight="1">
      <c r="A10" s="37"/>
      <c r="B10" s="37"/>
      <c r="C10" s="37"/>
      <c r="D10" s="37"/>
      <c r="E10" s="37"/>
      <c r="F10" s="37"/>
      <c r="G10" s="37"/>
      <c r="H10" s="37"/>
    </row>
    <row r="11" spans="1:11" s="1" customFormat="1" ht="33.75" customHeight="1">
      <c r="A11" s="37"/>
      <c r="B11" s="37"/>
      <c r="C11" s="37"/>
      <c r="D11" s="37"/>
      <c r="E11" s="37"/>
      <c r="F11" s="37"/>
      <c r="G11" s="37"/>
      <c r="H11" s="37"/>
    </row>
    <row r="12" spans="1:11" s="1" customFormat="1" ht="33.75" customHeight="1">
      <c r="A12" s="37"/>
      <c r="B12" s="37"/>
      <c r="C12" s="37"/>
      <c r="D12" s="37"/>
      <c r="E12" s="37"/>
      <c r="F12" s="37"/>
      <c r="G12" s="37"/>
      <c r="H12" s="37"/>
    </row>
    <row r="13" spans="1:11" s="1" customFormat="1" ht="33.75" customHeight="1">
      <c r="A13" s="37"/>
      <c r="B13" s="37"/>
      <c r="C13" s="37"/>
      <c r="D13" s="37"/>
      <c r="E13" s="37"/>
      <c r="F13" s="37"/>
      <c r="G13" s="37"/>
      <c r="H13" s="37"/>
    </row>
    <row r="14" spans="1:11" s="1" customFormat="1" ht="33.75" customHeight="1">
      <c r="A14" s="37"/>
      <c r="B14" s="37"/>
      <c r="C14" s="37"/>
      <c r="D14" s="37"/>
      <c r="E14" s="37"/>
      <c r="F14" s="37"/>
      <c r="G14" s="37"/>
      <c r="H14" s="37"/>
    </row>
    <row r="15" spans="1:11" s="1" customFormat="1" ht="33.75" customHeight="1">
      <c r="A15" s="37"/>
      <c r="B15" s="37"/>
      <c r="C15" s="37"/>
      <c r="D15" s="37"/>
      <c r="E15" s="37"/>
      <c r="F15" s="37"/>
      <c r="G15" s="37"/>
      <c r="H15" s="37"/>
    </row>
    <row r="16" spans="1:11" s="1" customFormat="1" ht="33.75" customHeight="1">
      <c r="A16" s="37"/>
      <c r="B16" s="37"/>
      <c r="C16" s="37"/>
      <c r="D16" s="37"/>
      <c r="E16" s="37"/>
      <c r="F16" s="37"/>
      <c r="G16" s="37"/>
      <c r="H16" s="37"/>
    </row>
    <row r="17" spans="1:8" s="1" customFormat="1" ht="33.75" customHeight="1">
      <c r="A17" s="37"/>
      <c r="B17" s="37"/>
      <c r="C17" s="37"/>
      <c r="D17" s="37"/>
      <c r="E17" s="37"/>
      <c r="F17" s="37"/>
      <c r="G17" s="37"/>
      <c r="H17" s="37"/>
    </row>
  </sheetData>
  <mergeCells count="2">
    <mergeCell ref="A1:B1"/>
    <mergeCell ref="D2:E2"/>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dimension ref="A1:H928"/>
  <sheetViews>
    <sheetView topLeftCell="A481" zoomScaleNormal="100" workbookViewId="0">
      <selection activeCell="B105" sqref="B105:D108"/>
    </sheetView>
  </sheetViews>
  <sheetFormatPr defaultRowHeight="15"/>
  <cols>
    <col min="1" max="1" width="25.7109375" style="26" customWidth="1"/>
    <col min="2" max="2" width="19.7109375" style="24" customWidth="1"/>
    <col min="3" max="4" width="19.7109375" style="27" customWidth="1"/>
    <col min="5" max="16384" width="9.140625" style="24"/>
  </cols>
  <sheetData>
    <row r="1" spans="1:4">
      <c r="A1" s="56" t="str">
        <f>'Survey Tool'!A1:C1</f>
        <v>Survey of Patient Experience 2017</v>
      </c>
      <c r="B1" s="56"/>
      <c r="C1" s="56"/>
      <c r="D1" s="57"/>
    </row>
    <row r="2" spans="1:4">
      <c r="A2" s="14" t="str">
        <f>'Survey Tool'!A2</f>
        <v>CHO Area</v>
      </c>
      <c r="B2" s="53">
        <f>'Survey Tool'!B2:C2</f>
        <v>0</v>
      </c>
      <c r="C2" s="53"/>
      <c r="D2" s="51"/>
    </row>
    <row r="3" spans="1:4">
      <c r="A3" s="14" t="str">
        <f>'Survey Tool'!A3</f>
        <v>Primary Care Centre</v>
      </c>
      <c r="B3" s="53">
        <f>'Survey Tool'!B3:C3</f>
        <v>0</v>
      </c>
      <c r="C3" s="53"/>
      <c r="D3" s="51"/>
    </row>
    <row r="4" spans="1:4">
      <c r="A4" s="14" t="str">
        <f>'Survey Tool'!A4</f>
        <v>Data Entry by</v>
      </c>
      <c r="B4" s="53">
        <f>'Survey Tool'!B4:C4</f>
        <v>0</v>
      </c>
      <c r="C4" s="53"/>
      <c r="D4" s="51"/>
    </row>
    <row r="5" spans="1:4">
      <c r="A5" s="14" t="str">
        <f>'Survey Tool'!A5</f>
        <v>Date of Survey</v>
      </c>
      <c r="B5" s="53">
        <f>'Survey Tool'!B5:C5</f>
        <v>0</v>
      </c>
      <c r="C5" s="53"/>
      <c r="D5" s="51"/>
    </row>
    <row r="6" spans="1:4">
      <c r="A6" s="14" t="str">
        <f>'Survey Tool'!A6</f>
        <v>No in Survey</v>
      </c>
      <c r="B6" s="53">
        <f>'Survey Tool'!B6:C6</f>
        <v>0</v>
      </c>
      <c r="C6" s="53"/>
      <c r="D6" s="51"/>
    </row>
    <row r="7" spans="1:4">
      <c r="A7" s="25" t="s">
        <v>222</v>
      </c>
      <c r="B7" s="60" t="s">
        <v>40</v>
      </c>
      <c r="C7" s="60"/>
      <c r="D7" s="61"/>
    </row>
    <row r="8" spans="1:4" ht="30">
      <c r="A8" s="14" t="s">
        <v>79</v>
      </c>
      <c r="B8" s="53">
        <f>COUNTIF(Table2[Your gender. Are you?],Condition_1)</f>
        <v>0</v>
      </c>
      <c r="C8" s="53"/>
      <c r="D8" s="51"/>
    </row>
    <row r="9" spans="1:4">
      <c r="A9" s="18"/>
      <c r="B9" s="13"/>
      <c r="C9" s="22"/>
      <c r="D9" s="22"/>
    </row>
    <row r="10" spans="1:4">
      <c r="A10" s="53" t="str">
        <f>'Validation List'!B3</f>
        <v>Gender</v>
      </c>
      <c r="B10" s="53"/>
      <c r="C10" s="53"/>
      <c r="D10" s="51"/>
    </row>
    <row r="11" spans="1:4">
      <c r="A11" s="15"/>
      <c r="B11" s="16" t="s">
        <v>37</v>
      </c>
      <c r="C11" s="17" t="s">
        <v>38</v>
      </c>
      <c r="D11" s="17" t="s">
        <v>42</v>
      </c>
    </row>
    <row r="12" spans="1:4">
      <c r="A12" s="15" t="str">
        <f>'Validation List'!B6</f>
        <v>Male</v>
      </c>
      <c r="B12" s="16">
        <f>COUNTIF(Table2[Your gender. Are you?],A12)</f>
        <v>0</v>
      </c>
      <c r="C12" s="17" t="e">
        <f t="shared" ref="C12:C15" si="0">B12/No_in_Audit*100</f>
        <v>#DIV/0!</v>
      </c>
      <c r="D12" s="17" t="e">
        <f>B12/(No_in_Audit-COUNTIF(Table2[Your gender. Are you?],"Not answered"))*100</f>
        <v>#DIV/0!</v>
      </c>
    </row>
    <row r="13" spans="1:4">
      <c r="A13" s="15" t="str">
        <f>'Validation List'!B7</f>
        <v>Female</v>
      </c>
      <c r="B13" s="16">
        <f>COUNTIF(Table2[Your gender. Are you?],A13)</f>
        <v>0</v>
      </c>
      <c r="C13" s="17" t="e">
        <f t="shared" si="0"/>
        <v>#DIV/0!</v>
      </c>
      <c r="D13" s="17" t="e">
        <f>B13/(No_in_Audit-COUNTIF(Table2[Your gender. Are you?],"Not answered"))*100</f>
        <v>#DIV/0!</v>
      </c>
    </row>
    <row r="14" spans="1:4">
      <c r="A14" s="15" t="str">
        <f>'Validation List'!B8</f>
        <v>Other</v>
      </c>
      <c r="B14" s="16">
        <f>COUNTIF(Table2[Your gender. Are you?],A14)</f>
        <v>0</v>
      </c>
      <c r="C14" s="17" t="e">
        <f t="shared" si="0"/>
        <v>#DIV/0!</v>
      </c>
      <c r="D14" s="17" t="e">
        <f>B14/(No_in_Audit-COUNTIF(Table2[Your gender. Are you?],"Not answered"))*100</f>
        <v>#DIV/0!</v>
      </c>
    </row>
    <row r="15" spans="1:4" ht="15" customHeight="1">
      <c r="A15" s="15" t="str">
        <f>'Validation List'!B15</f>
        <v>Not answered</v>
      </c>
      <c r="B15" s="16">
        <f>COUNTIF(Table2[Your gender. Are you?],A15)</f>
        <v>0</v>
      </c>
      <c r="C15" s="17" t="e">
        <f t="shared" si="0"/>
        <v>#DIV/0!</v>
      </c>
      <c r="D15" s="17"/>
    </row>
    <row r="16" spans="1:4">
      <c r="A16" s="15" t="s">
        <v>39</v>
      </c>
      <c r="B16" s="16">
        <f>SUM(B12:B15)</f>
        <v>0</v>
      </c>
      <c r="C16" s="17" t="e">
        <f>SUM(C12:C15)</f>
        <v>#DIV/0!</v>
      </c>
      <c r="D16" s="17" t="e">
        <f>SUM(D12:D15)</f>
        <v>#DIV/0!</v>
      </c>
    </row>
    <row r="17" spans="1:4">
      <c r="A17" s="18"/>
      <c r="B17" s="13"/>
      <c r="C17" s="22"/>
      <c r="D17" s="22"/>
    </row>
    <row r="18" spans="1:4">
      <c r="A18" s="18"/>
      <c r="B18" s="13"/>
      <c r="C18" s="22"/>
      <c r="D18" s="22"/>
    </row>
    <row r="19" spans="1:4">
      <c r="A19" s="54" t="str">
        <f>'Validation List'!C3</f>
        <v>Age category</v>
      </c>
      <c r="B19" s="55"/>
      <c r="C19" s="55"/>
      <c r="D19" s="49"/>
    </row>
    <row r="20" spans="1:4">
      <c r="A20" s="15"/>
      <c r="B20" s="16" t="s">
        <v>37</v>
      </c>
      <c r="C20" s="17" t="s">
        <v>38</v>
      </c>
      <c r="D20" s="17" t="s">
        <v>42</v>
      </c>
    </row>
    <row r="21" spans="1:4" ht="30" customHeight="1">
      <c r="A21" s="15" t="str">
        <f>'Validation List'!C6</f>
        <v>Under 18 years of age</v>
      </c>
      <c r="B21" s="16">
        <f>COUNTIFS(Table2[Your gender. Are you?],Condition_1,Table2[What is your age category?],A21)</f>
        <v>0</v>
      </c>
      <c r="C21" s="17" t="e">
        <f t="shared" ref="C21:C27" si="1">B21/No_who_answered_survey*100</f>
        <v>#DIV/0!</v>
      </c>
      <c r="D21" s="17" t="e">
        <f>B21/(No_who_answered_survey-COUNTIFS(Table2[Your gender. Are you?],Condition_1,Table2[What is your age category?],"Not answered"))*100</f>
        <v>#DIV/0!</v>
      </c>
    </row>
    <row r="22" spans="1:4" ht="30" customHeight="1">
      <c r="A22" s="15" t="str">
        <f>'Validation List'!C7</f>
        <v>18-24yrs</v>
      </c>
      <c r="B22" s="16">
        <f>COUNTIFS(Table2[Your gender. Are you?],Condition_1,Table2[What is your age category?],A22)</f>
        <v>0</v>
      </c>
      <c r="C22" s="17" t="e">
        <f t="shared" si="1"/>
        <v>#DIV/0!</v>
      </c>
      <c r="D22" s="17" t="e">
        <f>B22/(No_who_answered_survey-COUNTIFS(Table2[Your gender. Are you?],Condition_1,Table2[What is your age category?],"Not answered"))*100</f>
        <v>#DIV/0!</v>
      </c>
    </row>
    <row r="23" spans="1:4" ht="30" customHeight="1">
      <c r="A23" s="15" t="str">
        <f>'Validation List'!C8</f>
        <v>25-44yrs</v>
      </c>
      <c r="B23" s="16">
        <f>COUNTIFS(Table2[Your gender. Are you?],Condition_1,Table2[What is your age category?],A23)</f>
        <v>0</v>
      </c>
      <c r="C23" s="17" t="e">
        <f t="shared" si="1"/>
        <v>#DIV/0!</v>
      </c>
      <c r="D23" s="17" t="e">
        <f>B23/(No_who_answered_survey-COUNTIFS(Table2[Your gender. Are you?],Condition_1,Table2[What is your age category?],"Not answered"))*100</f>
        <v>#DIV/0!</v>
      </c>
    </row>
    <row r="24" spans="1:4">
      <c r="A24" s="15" t="str">
        <f>'Validation List'!C9</f>
        <v>45-64yrs</v>
      </c>
      <c r="B24" s="16">
        <f>COUNTIFS(Table2[Your gender. Are you?],Condition_1,Table2[What is your age category?],A24)</f>
        <v>0</v>
      </c>
      <c r="C24" s="17" t="e">
        <f t="shared" si="1"/>
        <v>#DIV/0!</v>
      </c>
      <c r="D24" s="17" t="e">
        <f>B24/(No_who_answered_survey-COUNTIFS(Table2[Your gender. Are you?],Condition_1,Table2[What is your age category?],"Not answered"))*100</f>
        <v>#DIV/0!</v>
      </c>
    </row>
    <row r="25" spans="1:4">
      <c r="A25" s="15" t="str">
        <f>'Validation List'!C10</f>
        <v>65-74yrs</v>
      </c>
      <c r="B25" s="16">
        <f>COUNTIFS(Table2[Your gender. Are you?],Condition_1,Table2[What is your age category?],A25)</f>
        <v>0</v>
      </c>
      <c r="C25" s="17" t="e">
        <f t="shared" si="1"/>
        <v>#DIV/0!</v>
      </c>
      <c r="D25" s="17" t="e">
        <f>B25/(No_who_answered_survey-COUNTIFS(Table2[Your gender. Are you?],Condition_1,Table2[What is your age category?],"Not answered"))*100</f>
        <v>#DIV/0!</v>
      </c>
    </row>
    <row r="26" spans="1:4">
      <c r="A26" s="15" t="str">
        <f>'Validation List'!C11</f>
        <v>75 years +</v>
      </c>
      <c r="B26" s="16">
        <f>COUNTIFS(Table2[Your gender. Are you?],Condition_1,Table2[What is your age category?],A26)</f>
        <v>0</v>
      </c>
      <c r="C26" s="17" t="e">
        <f t="shared" si="1"/>
        <v>#DIV/0!</v>
      </c>
      <c r="D26" s="17" t="e">
        <f>B26/(No_who_answered_survey-COUNTIFS(Table2[Your gender. Are you?],Condition_1,Table2[What is your age category?],"Not answered"))*100</f>
        <v>#DIV/0!</v>
      </c>
    </row>
    <row r="27" spans="1:4">
      <c r="A27" s="15" t="str">
        <f>'Validation List'!C15</f>
        <v>Not answered</v>
      </c>
      <c r="B27" s="16">
        <f>COUNTIFS(Table2[Your gender. Are you?],Condition_1,Table2[What is your age category?],A27)</f>
        <v>0</v>
      </c>
      <c r="C27" s="17" t="e">
        <f t="shared" si="1"/>
        <v>#DIV/0!</v>
      </c>
      <c r="D27" s="17"/>
    </row>
    <row r="28" spans="1:4">
      <c r="A28" s="15" t="s">
        <v>39</v>
      </c>
      <c r="B28" s="16">
        <f>SUM(B21:B27)</f>
        <v>0</v>
      </c>
      <c r="C28" s="17" t="e">
        <f>SUM(C21:C27)</f>
        <v>#DIV/0!</v>
      </c>
      <c r="D28" s="17" t="e">
        <f>SUM(D21:D27)</f>
        <v>#DIV/0!</v>
      </c>
    </row>
    <row r="29" spans="1:4">
      <c r="A29" s="18"/>
      <c r="B29" s="13"/>
      <c r="C29" s="22"/>
      <c r="D29" s="22"/>
    </row>
    <row r="30" spans="1:4">
      <c r="A30" s="18"/>
      <c r="B30" s="13"/>
      <c r="C30" s="22"/>
      <c r="D30" s="22"/>
    </row>
    <row r="31" spans="1:4">
      <c r="A31" s="18"/>
      <c r="B31" s="13"/>
      <c r="C31" s="22"/>
      <c r="D31" s="22"/>
    </row>
    <row r="32" spans="1:4">
      <c r="A32" s="54" t="str">
        <f>'Validation List'!D3</f>
        <v>Holder of Health cards</v>
      </c>
      <c r="B32" s="55"/>
      <c r="C32" s="55"/>
      <c r="D32" s="49"/>
    </row>
    <row r="33" spans="1:4">
      <c r="A33" s="15"/>
      <c r="B33" s="16" t="s">
        <v>37</v>
      </c>
      <c r="C33" s="17" t="s">
        <v>38</v>
      </c>
      <c r="D33" s="17" t="s">
        <v>42</v>
      </c>
    </row>
    <row r="34" spans="1:4">
      <c r="A34" s="15" t="str">
        <f>'Validation List'!D6</f>
        <v>Medical Card</v>
      </c>
      <c r="B34" s="16">
        <f>COUNTIFS(Table2[Your gender. Are you?],Condition_1,Table2[Do you hold any of the following cards?],A34)</f>
        <v>0</v>
      </c>
      <c r="C34" s="17" t="e">
        <f t="shared" ref="C34:C43" si="2">B34/No_who_answered_survey*100</f>
        <v>#DIV/0!</v>
      </c>
      <c r="D34" s="17" t="e">
        <f>B34/(No_who_answered_survey-COUNTIFS(Table2[Your gender. Are you?],Condition_1,Table2[Do you hold any of the following cards?],"Not answered"))*100</f>
        <v>#DIV/0!</v>
      </c>
    </row>
    <row r="35" spans="1:4">
      <c r="A35" s="15" t="str">
        <f>'Validation List'!D7</f>
        <v>GP Visit Card</v>
      </c>
      <c r="B35" s="16">
        <f>COUNTIFS(Table2[Your gender. Are you?],Condition_1,Table2[Do you hold any of the following cards?],A35)</f>
        <v>0</v>
      </c>
      <c r="C35" s="17" t="e">
        <f t="shared" si="2"/>
        <v>#DIV/0!</v>
      </c>
      <c r="D35" s="17" t="e">
        <f>B35/(No_who_answered_survey-COUNTIFS(Table2[Your gender. Are you?],Condition_1,Table2[Do you hold any of the following cards?],"Not answered"))*100</f>
        <v>#DIV/0!</v>
      </c>
    </row>
    <row r="36" spans="1:4">
      <c r="A36" s="15" t="str">
        <f>'Validation List'!D8</f>
        <v>Long-term Illness Card</v>
      </c>
      <c r="B36" s="16">
        <f>COUNTIFS(Table2[Your gender. Are you?],Condition_1,Table2[Do you hold any of the following cards?],A36)</f>
        <v>0</v>
      </c>
      <c r="C36" s="17" t="e">
        <f t="shared" si="2"/>
        <v>#DIV/0!</v>
      </c>
      <c r="D36" s="17" t="e">
        <f>B36/(No_who_answered_survey-COUNTIFS(Table2[Your gender. Are you?],Condition_1,Table2[Do you hold any of the following cards?],"Not answered"))*100</f>
        <v>#DIV/0!</v>
      </c>
    </row>
    <row r="37" spans="1:4" ht="30">
      <c r="A37" s="15" t="str">
        <f>'Validation List'!D9</f>
        <v>Health Amendment Act Card</v>
      </c>
      <c r="B37" s="16">
        <f>COUNTIFS(Table2[Your gender. Are you?],Condition_1,Table2[Do you hold any of the following cards?],A37)</f>
        <v>0</v>
      </c>
      <c r="C37" s="17" t="e">
        <f t="shared" si="2"/>
        <v>#DIV/0!</v>
      </c>
      <c r="D37" s="17" t="e">
        <f>B37/(No_who_answered_survey-COUNTIFS(Table2[Your gender. Are you?],Condition_1,Table2[Do you hold any of the following cards?],"Not answered"))*100</f>
        <v>#DIV/0!</v>
      </c>
    </row>
    <row r="38" spans="1:4" ht="30">
      <c r="A38" s="15" t="str">
        <f>'Validation List'!D10</f>
        <v>European Health Insurance Card</v>
      </c>
      <c r="B38" s="16">
        <f>COUNTIFS(Table2[Your gender. Are you?],Condition_1,Table2[Do you hold any of the following cards?],A38)</f>
        <v>0</v>
      </c>
      <c r="C38" s="17" t="e">
        <f t="shared" si="2"/>
        <v>#DIV/0!</v>
      </c>
      <c r="D38" s="17" t="e">
        <f>B38/(No_who_answered_survey-COUNTIFS(Table2[Your gender. Are you?],Condition_1,Table2[Do you hold any of the following cards?],"Not answered"))*100</f>
        <v>#DIV/0!</v>
      </c>
    </row>
    <row r="39" spans="1:4" ht="30">
      <c r="A39" s="15" t="str">
        <f>'Validation List'!D11</f>
        <v>Drug Payment Scheme Card</v>
      </c>
      <c r="B39" s="16">
        <f>COUNTIFS(Table2[Your gender. Are you?],Condition_1,Table2[Do you hold any of the following cards?],A39)</f>
        <v>0</v>
      </c>
      <c r="C39" s="17" t="e">
        <f t="shared" si="2"/>
        <v>#DIV/0!</v>
      </c>
      <c r="D39" s="17" t="e">
        <f>B39/(No_who_answered_survey-COUNTIFS(Table2[Your gender. Are you?],Condition_1,Table2[Do you hold any of the following cards?],"Not answered"))*100</f>
        <v>#DIV/0!</v>
      </c>
    </row>
    <row r="40" spans="1:4">
      <c r="A40" s="15" t="str">
        <f>'Validation List'!D12</f>
        <v>Other</v>
      </c>
      <c r="B40" s="16">
        <f>COUNTIFS(Table2[Your gender. Are you?],Condition_1,Table2[Do you hold any of the following cards?],A40)</f>
        <v>0</v>
      </c>
      <c r="C40" s="17" t="e">
        <f t="shared" si="2"/>
        <v>#DIV/0!</v>
      </c>
      <c r="D40" s="17" t="e">
        <f>B40/(No_who_answered_survey-COUNTIFS(Table2[Your gender. Are you?],Condition_1,Table2[Do you hold any of the following cards?],"Not answered"))*100</f>
        <v>#DIV/0!</v>
      </c>
    </row>
    <row r="41" spans="1:4" ht="30">
      <c r="A41" s="15" t="str">
        <f>'Validation List'!D13</f>
        <v>2 or more of the above cards</v>
      </c>
      <c r="B41" s="16">
        <f>COUNTIFS(Table2[Your gender. Are you?],Condition_1,Table2[Do you hold any of the following cards?],A41)</f>
        <v>0</v>
      </c>
      <c r="C41" s="17" t="e">
        <f t="shared" si="2"/>
        <v>#DIV/0!</v>
      </c>
      <c r="D41" s="17" t="e">
        <f>B41/(No_who_answered_survey-COUNTIFS(Table2[Your gender. Are you?],Condition_1,Table2[Do you hold any of the following cards?],"Not answered"))*100</f>
        <v>#DIV/0!</v>
      </c>
    </row>
    <row r="42" spans="1:4">
      <c r="A42" s="15" t="str">
        <f>'Validation List'!D14</f>
        <v>None of these</v>
      </c>
      <c r="B42" s="16">
        <f>COUNTIFS(Table2[Your gender. Are you?],Condition_1,Table2[Do you hold any of the following cards?],A42)</f>
        <v>0</v>
      </c>
      <c r="C42" s="17" t="e">
        <f t="shared" ref="C42" si="3">B42/No_who_answered_survey*100</f>
        <v>#DIV/0!</v>
      </c>
      <c r="D42" s="17" t="e">
        <f>B42/(No_who_answered_survey-COUNTIFS(Table2[Your gender. Are you?],Condition_1,Table2[Do you hold any of the following cards?],"Not answered"))*100</f>
        <v>#DIV/0!</v>
      </c>
    </row>
    <row r="43" spans="1:4">
      <c r="A43" s="15" t="str">
        <f>'Validation List'!D15</f>
        <v>Not answered</v>
      </c>
      <c r="B43" s="16">
        <f>COUNTIFS(Table2[Your gender. Are you?],Condition_1,Table2[Do you hold any of the following cards?],A43)</f>
        <v>0</v>
      </c>
      <c r="C43" s="17" t="e">
        <f t="shared" si="2"/>
        <v>#DIV/0!</v>
      </c>
      <c r="D43" s="17"/>
    </row>
    <row r="44" spans="1:4">
      <c r="A44" s="15" t="s">
        <v>39</v>
      </c>
      <c r="B44" s="16">
        <f>SUM(B34:B43)</f>
        <v>0</v>
      </c>
      <c r="C44" s="17" t="e">
        <f>SUM(C34:C43)</f>
        <v>#DIV/0!</v>
      </c>
      <c r="D44" s="17" t="e">
        <f>SUM(D34:D43)</f>
        <v>#DIV/0!</v>
      </c>
    </row>
    <row r="45" spans="1:4">
      <c r="A45" s="18"/>
      <c r="B45" s="13"/>
      <c r="C45" s="22"/>
      <c r="D45" s="22"/>
    </row>
    <row r="46" spans="1:4">
      <c r="A46" s="18"/>
      <c r="B46" s="13"/>
      <c r="C46" s="22"/>
      <c r="D46" s="22"/>
    </row>
    <row r="47" spans="1:4" s="26" customFormat="1" ht="29.25" customHeight="1">
      <c r="A47" s="47" t="str">
        <f>'Validation List'!E3</f>
        <v>Use of Interpreter Services</v>
      </c>
      <c r="B47" s="48"/>
      <c r="C47" s="48"/>
      <c r="D47" s="52"/>
    </row>
    <row r="48" spans="1:4">
      <c r="A48" s="15"/>
      <c r="B48" s="16" t="s">
        <v>37</v>
      </c>
      <c r="C48" s="17" t="s">
        <v>38</v>
      </c>
      <c r="D48" s="17" t="s">
        <v>42</v>
      </c>
    </row>
    <row r="49" spans="1:4" ht="30">
      <c r="A49" s="15" t="str">
        <f>'Validation List'!E6</f>
        <v>I did not use an interpreter for my appointment</v>
      </c>
      <c r="B49" s="16">
        <f>COUNTIFS(Table2[Your gender. Are you?],Condition_1,Table2[Please state which of the following applies to you?],A49)</f>
        <v>0</v>
      </c>
      <c r="C49" s="17" t="e">
        <f t="shared" ref="C49" si="4">B49/No_who_answered_survey*100</f>
        <v>#DIV/0!</v>
      </c>
      <c r="D49" s="17" t="e">
        <f>B49/(No_who_answered_survey-COUNTIFS(Table2[Your gender. Are you?],Condition_1,Table2[Please state which of the following applies to you?],"Not answered"))*100</f>
        <v>#DIV/0!</v>
      </c>
    </row>
    <row r="50" spans="1:4">
      <c r="A50" s="15" t="str">
        <f>'Validation List'!E7</f>
        <v>I used a Sign interpreter</v>
      </c>
      <c r="B50" s="16">
        <f>COUNTIFS(Table2[Your gender. Are you?],Condition_1,Table2[Please state which of the following applies to you?],A50)</f>
        <v>0</v>
      </c>
      <c r="C50" s="17" t="e">
        <f t="shared" ref="C50:C52" si="5">B50/No_who_answered_survey*100</f>
        <v>#DIV/0!</v>
      </c>
      <c r="D50" s="17" t="e">
        <f>B50/(No_who_answered_survey-COUNTIFS(Table2[Your gender. Are you?],Condition_1,Table2[Please state which of the following applies to you?],"Not answered"))*100</f>
        <v>#DIV/0!</v>
      </c>
    </row>
    <row r="51" spans="1:4" ht="30">
      <c r="A51" s="15" t="str">
        <f>'Validation List'!E8</f>
        <v>I used a Language interpreter</v>
      </c>
      <c r="B51" s="16">
        <f>COUNTIFS(Table2[Your gender. Are you?],Condition_1,Table2[Please state which of the following applies to you?],A51)</f>
        <v>0</v>
      </c>
      <c r="C51" s="17" t="e">
        <f t="shared" si="5"/>
        <v>#DIV/0!</v>
      </c>
      <c r="D51" s="17" t="e">
        <f>B51/(No_who_answered_survey-COUNTIFS(Table2[Your gender. Are you?],Condition_1,Table2[Please state which of the following applies to you?],"Not answered"))*100</f>
        <v>#DIV/0!</v>
      </c>
    </row>
    <row r="52" spans="1:4">
      <c r="A52" s="15" t="str">
        <f>'Validation List'!E15</f>
        <v>Not answered</v>
      </c>
      <c r="B52" s="16">
        <f>COUNTIFS(Table2[Your gender. Are you?],Condition_1,Table2[Please state which of the following applies to you?],A52)</f>
        <v>0</v>
      </c>
      <c r="C52" s="17" t="e">
        <f t="shared" si="5"/>
        <v>#DIV/0!</v>
      </c>
      <c r="D52" s="17"/>
    </row>
    <row r="53" spans="1:4">
      <c r="A53" s="15" t="s">
        <v>39</v>
      </c>
      <c r="B53" s="16">
        <f>SUM(B49:B52)</f>
        <v>0</v>
      </c>
      <c r="C53" s="17" t="e">
        <f>SUM(C49:C52)</f>
        <v>#DIV/0!</v>
      </c>
      <c r="D53" s="17" t="e">
        <f>SUM(D49:D52)</f>
        <v>#DIV/0!</v>
      </c>
    </row>
    <row r="54" spans="1:4">
      <c r="A54" s="18"/>
      <c r="B54" s="13"/>
      <c r="C54" s="22"/>
      <c r="D54" s="22"/>
    </row>
    <row r="55" spans="1:4">
      <c r="A55" s="18"/>
      <c r="B55" s="13"/>
      <c r="C55" s="22"/>
      <c r="D55" s="22"/>
    </row>
    <row r="56" spans="1:4">
      <c r="A56" s="47" t="str">
        <f>'Validation List'!F3</f>
        <v>Patients Country of Origin.</v>
      </c>
      <c r="B56" s="48"/>
      <c r="C56" s="48"/>
      <c r="D56" s="49"/>
    </row>
    <row r="57" spans="1:4">
      <c r="A57" s="15"/>
      <c r="B57" s="16" t="s">
        <v>37</v>
      </c>
      <c r="C57" s="17" t="s">
        <v>38</v>
      </c>
      <c r="D57" s="17" t="s">
        <v>42</v>
      </c>
    </row>
    <row r="58" spans="1:4">
      <c r="A58" s="15" t="str">
        <f>'Validation List'!F6</f>
        <v>Ireland</v>
      </c>
      <c r="B58" s="16">
        <f>COUNTIFS(Table2[Your gender. Are you?],Condition_1,Table2[Please tell us your country of origin.],A58)</f>
        <v>0</v>
      </c>
      <c r="C58" s="17" t="e">
        <f t="shared" ref="C58" si="6">B58/No_who_answered_survey*100</f>
        <v>#DIV/0!</v>
      </c>
      <c r="D58" s="17" t="e">
        <f>B58/(No_who_answered_survey-COUNTIFS(Table2[Your gender. Are you?],Condition_1,Table2[Please tell us your country of origin.],"Not answered"))*100</f>
        <v>#DIV/0!</v>
      </c>
    </row>
    <row r="59" spans="1:4">
      <c r="A59" s="15" t="str">
        <f>'Validation List'!F7</f>
        <v>United Kingdom</v>
      </c>
      <c r="B59" s="16">
        <f>COUNTIFS(Table2[Your gender. Are you?],Condition_1,Table2[Please tell us your country of origin.],A59)</f>
        <v>0</v>
      </c>
      <c r="C59" s="17" t="e">
        <f t="shared" ref="C59:C63" si="7">B59/No_who_answered_survey*100</f>
        <v>#DIV/0!</v>
      </c>
      <c r="D59" s="17" t="e">
        <f>B59/(No_who_answered_survey-COUNTIFS(Table2[Your gender. Are you?],Condition_1,Table2[Please tell us your country of origin.],"Not answered"))*100</f>
        <v>#DIV/0!</v>
      </c>
    </row>
    <row r="60" spans="1:4">
      <c r="A60" s="15" t="str">
        <f>'Validation List'!F8</f>
        <v>EU</v>
      </c>
      <c r="B60" s="16">
        <f>COUNTIFS(Table2[Your gender. Are you?],Condition_1,Table2[Please tell us your country of origin.],A60)</f>
        <v>0</v>
      </c>
      <c r="C60" s="17" t="e">
        <f t="shared" si="7"/>
        <v>#DIV/0!</v>
      </c>
      <c r="D60" s="17" t="e">
        <f>B60/(No_who_answered_survey-COUNTIFS(Table2[Your gender. Are you?],Condition_1,Table2[Please tell us your country of origin.],"Not answered"))*100</f>
        <v>#DIV/0!</v>
      </c>
    </row>
    <row r="61" spans="1:4">
      <c r="A61" s="15" t="str">
        <f>'Validation List'!F9</f>
        <v>Non-EU</v>
      </c>
      <c r="B61" s="16">
        <f>COUNTIFS(Table2[Your gender. Are you?],Condition_1,Table2[Please tell us your country of origin.],A61)</f>
        <v>0</v>
      </c>
      <c r="C61" s="17" t="e">
        <f t="shared" si="7"/>
        <v>#DIV/0!</v>
      </c>
      <c r="D61" s="17" t="e">
        <f>B61/(No_who_answered_survey-COUNTIFS(Table2[Your gender. Are you?],Condition_1,Table2[Please tell us your country of origin.],"Not answered"))*100</f>
        <v>#DIV/0!</v>
      </c>
    </row>
    <row r="62" spans="1:4">
      <c r="A62" s="15" t="str">
        <f>'Validation List'!F10</f>
        <v>Other</v>
      </c>
      <c r="B62" s="16">
        <f>COUNTIFS(Table2[Your gender. Are you?],Condition_1,Table2[Please tell us your country of origin.],A62)</f>
        <v>0</v>
      </c>
      <c r="C62" s="17" t="e">
        <f t="shared" si="7"/>
        <v>#DIV/0!</v>
      </c>
      <c r="D62" s="17" t="e">
        <f>B62/(No_who_answered_survey-COUNTIFS(Table2[Your gender. Are you?],Condition_1,Table2[Please tell us your country of origin.],"Not answered"))*100</f>
        <v>#DIV/0!</v>
      </c>
    </row>
    <row r="63" spans="1:4">
      <c r="A63" s="15" t="str">
        <f>'Validation List'!F15</f>
        <v>Not answered</v>
      </c>
      <c r="B63" s="16">
        <f>COUNTIFS(Table2[Your gender. Are you?],Condition_1,Table2[Please tell us your country of origin.],A63)</f>
        <v>0</v>
      </c>
      <c r="C63" s="17" t="e">
        <f t="shared" si="7"/>
        <v>#DIV/0!</v>
      </c>
      <c r="D63" s="17"/>
    </row>
    <row r="64" spans="1:4">
      <c r="A64" s="15" t="s">
        <v>39</v>
      </c>
      <c r="B64" s="16">
        <f>SUM(B58:B63)</f>
        <v>0</v>
      </c>
      <c r="C64" s="17" t="e">
        <f>SUM(C58:C63)</f>
        <v>#DIV/0!</v>
      </c>
      <c r="D64" s="17" t="e">
        <f>SUM(D58:D63)</f>
        <v>#DIV/0!</v>
      </c>
    </row>
    <row r="65" spans="1:4">
      <c r="A65" s="18"/>
      <c r="B65" s="13"/>
      <c r="C65" s="22"/>
      <c r="D65" s="22"/>
    </row>
    <row r="66" spans="1:4">
      <c r="A66" s="18"/>
      <c r="B66" s="13"/>
      <c r="C66" s="22"/>
      <c r="D66" s="22"/>
    </row>
    <row r="67" spans="1:4">
      <c r="A67" s="47" t="str">
        <f>'Validation List'!G3</f>
        <v>Primary Care Team services attended on day of survey</v>
      </c>
      <c r="B67" s="48"/>
      <c r="C67" s="48"/>
      <c r="D67" s="49"/>
    </row>
    <row r="68" spans="1:4">
      <c r="A68" s="15"/>
      <c r="B68" s="16" t="s">
        <v>37</v>
      </c>
      <c r="C68" s="17" t="s">
        <v>38</v>
      </c>
      <c r="D68" s="17" t="s">
        <v>42</v>
      </c>
    </row>
    <row r="69" spans="1:4">
      <c r="A69" s="15" t="str">
        <f>'Validation List'!G17</f>
        <v>GP</v>
      </c>
      <c r="B69" s="16">
        <f>COUNTIFS(Table2[Your gender. Are you?],Condition_1,Table2[Which of the following primary care team services did you attend today?],A69)</f>
        <v>0</v>
      </c>
      <c r="C69" s="17" t="e">
        <f t="shared" ref="C69" si="8">B69/No_who_answered_survey*100</f>
        <v>#DIV/0!</v>
      </c>
      <c r="D69" s="17" t="e">
        <f>B69/(No_who_answered_survey-COUNTIFS(Table2[Your gender. Are you?],Condition_1,Table2[Which of the following primary care team services did you attend today?],"Not answered"))*100</f>
        <v>#DIV/0!</v>
      </c>
    </row>
    <row r="70" spans="1:4" ht="15" customHeight="1">
      <c r="A70" s="15" t="str">
        <f>'Validation List'!G18</f>
        <v>Practice Nurse</v>
      </c>
      <c r="B70" s="16">
        <f>COUNTIFS(Table2[Your gender. Are you?],Condition_1,Table2[Which of the following primary care team services did you attend today?],A70)</f>
        <v>0</v>
      </c>
      <c r="C70" s="17" t="e">
        <f t="shared" ref="C70:C86" si="9">B70/No_who_answered_survey*100</f>
        <v>#DIV/0!</v>
      </c>
      <c r="D70" s="17" t="e">
        <f>B70/(No_who_answered_survey-COUNTIFS(Table2[Your gender. Are you?],Condition_1,Table2[Which of the following primary care team services did you attend today?],"Not answered"))*100</f>
        <v>#DIV/0!</v>
      </c>
    </row>
    <row r="71" spans="1:4" ht="15" customHeight="1">
      <c r="A71" s="15" t="str">
        <f>'Validation List'!G19</f>
        <v>Public Health Nurse or Community Nurse</v>
      </c>
      <c r="B71" s="16">
        <f>COUNTIFS(Table2[Your gender. Are you?],Condition_1,Table2[Which of the following primary care team services did you attend today?],A71)</f>
        <v>0</v>
      </c>
      <c r="C71" s="17" t="e">
        <f t="shared" si="9"/>
        <v>#DIV/0!</v>
      </c>
      <c r="D71" s="17" t="e">
        <f>B71/(No_who_answered_survey-COUNTIFS(Table2[Your gender. Are you?],Condition_1,Table2[Which of the following primary care team services did you attend today?],"Not answered"))*100</f>
        <v>#DIV/0!</v>
      </c>
    </row>
    <row r="72" spans="1:4" ht="15" customHeight="1">
      <c r="A72" s="15" t="str">
        <f>'Validation List'!G20</f>
        <v>Physiotherapist</v>
      </c>
      <c r="B72" s="16">
        <f>COUNTIFS(Table2[Your gender. Are you?],Condition_1,Table2[Which of the following primary care team services did you attend today?],A72)</f>
        <v>0</v>
      </c>
      <c r="C72" s="17" t="e">
        <f t="shared" si="9"/>
        <v>#DIV/0!</v>
      </c>
      <c r="D72" s="17" t="e">
        <f>B72/(No_who_answered_survey-COUNTIFS(Table2[Your gender. Are you?],Condition_1,Table2[Which of the following primary care team services did you attend today?],"Not answered"))*100</f>
        <v>#DIV/0!</v>
      </c>
    </row>
    <row r="73" spans="1:4" ht="15" customHeight="1">
      <c r="A73" s="15" t="str">
        <f>'Validation List'!G21</f>
        <v>Occupational Therapist</v>
      </c>
      <c r="B73" s="16">
        <f>COUNTIFS(Table2[Your gender. Are you?],Condition_1,Table2[Which of the following primary care team services did you attend today?],A73)</f>
        <v>0</v>
      </c>
      <c r="C73" s="17" t="e">
        <f t="shared" si="9"/>
        <v>#DIV/0!</v>
      </c>
      <c r="D73" s="17" t="e">
        <f>B73/(No_who_answered_survey-COUNTIFS(Table2[Your gender. Are you?],Condition_1,Table2[Which of the following primary care team services did you attend today?],"Not answered"))*100</f>
        <v>#DIV/0!</v>
      </c>
    </row>
    <row r="74" spans="1:4" ht="15" customHeight="1">
      <c r="A74" s="15" t="str">
        <f>'Validation List'!G22</f>
        <v>SLT</v>
      </c>
      <c r="B74" s="16">
        <f>COUNTIFS(Table2[Your gender. Are you?],Condition_1,Table2[Which of the following primary care team services did you attend today?],A74)</f>
        <v>0</v>
      </c>
      <c r="C74" s="17" t="e">
        <f t="shared" si="9"/>
        <v>#DIV/0!</v>
      </c>
      <c r="D74" s="17" t="e">
        <f>B74/(No_who_answered_survey-COUNTIFS(Table2[Your gender. Are you?],Condition_1,Table2[Which of the following primary care team services did you attend today?],"Not answered"))*100</f>
        <v>#DIV/0!</v>
      </c>
    </row>
    <row r="75" spans="1:4" ht="15" customHeight="1">
      <c r="A75" s="15" t="str">
        <f>'Validation List'!G23</f>
        <v>Dentist</v>
      </c>
      <c r="B75" s="16">
        <f>COUNTIFS(Table2[Your gender. Are you?],Condition_1,Table2[Which of the following primary care team services did you attend today?],A75)</f>
        <v>0</v>
      </c>
      <c r="C75" s="17" t="e">
        <f t="shared" si="9"/>
        <v>#DIV/0!</v>
      </c>
      <c r="D75" s="17" t="e">
        <f>B75/(No_who_answered_survey-COUNTIFS(Table2[Your gender. Are you?],Condition_1,Table2[Which of the following primary care team services did you attend today?],"Not answered"))*100</f>
        <v>#DIV/0!</v>
      </c>
    </row>
    <row r="76" spans="1:4" ht="15" customHeight="1">
      <c r="A76" s="15" t="str">
        <f>'Validation List'!G24</f>
        <v>Dental Hygienist/ Nurse</v>
      </c>
      <c r="B76" s="16">
        <f>COUNTIFS(Table2[Your gender. Are you?],Condition_1,Table2[Which of the following primary care team services did you attend today?],A76)</f>
        <v>0</v>
      </c>
      <c r="C76" s="17" t="e">
        <f t="shared" si="9"/>
        <v>#DIV/0!</v>
      </c>
      <c r="D76" s="17" t="e">
        <f>B76/(No_who_answered_survey-COUNTIFS(Table2[Your gender. Are you?],Condition_1,Table2[Which of the following primary care team services did you attend today?],"Not answered"))*100</f>
        <v>#DIV/0!</v>
      </c>
    </row>
    <row r="77" spans="1:4" ht="15" customHeight="1">
      <c r="A77" s="15" t="str">
        <f>'Validation List'!G25</f>
        <v>Podiatrist/ Chiropodist</v>
      </c>
      <c r="B77" s="16">
        <f>COUNTIFS(Table2[Your gender. Are you?],Condition_1,Table2[Which of the following primary care team services did you attend today?],A77)</f>
        <v>0</v>
      </c>
      <c r="C77" s="17" t="e">
        <f t="shared" ref="C77:C85" si="10">B77/No_who_answered_survey*100</f>
        <v>#DIV/0!</v>
      </c>
      <c r="D77" s="17" t="e">
        <f>B77/(No_who_answered_survey-COUNTIFS(Table2[Your gender. Are you?],Condition_1,Table2[Which of the following primary care team services did you attend today?],"Not answered"))*100</f>
        <v>#DIV/0!</v>
      </c>
    </row>
    <row r="78" spans="1:4" ht="15" customHeight="1">
      <c r="A78" s="15" t="str">
        <f>'Validation List'!G26</f>
        <v>Dietician</v>
      </c>
      <c r="B78" s="16">
        <f>COUNTIFS(Table2[Your gender. Are you?],Condition_1,Table2[Which of the following primary care team services did you attend today?],A78)</f>
        <v>0</v>
      </c>
      <c r="C78" s="17" t="e">
        <f t="shared" si="10"/>
        <v>#DIV/0!</v>
      </c>
      <c r="D78" s="17" t="e">
        <f>B78/(No_who_answered_survey-COUNTIFS(Table2[Your gender. Are you?],Condition_1,Table2[Which of the following primary care team services did you attend today?],"Not answered"))*100</f>
        <v>#DIV/0!</v>
      </c>
    </row>
    <row r="79" spans="1:4" ht="15" customHeight="1">
      <c r="A79" s="15" t="str">
        <f>'Validation List'!G27</f>
        <v>Psychology</v>
      </c>
      <c r="B79" s="16">
        <f>COUNTIFS(Table2[Your gender. Are you?],Condition_1,Table2[Which of the following primary care team services did you attend today?],A79)</f>
        <v>0</v>
      </c>
      <c r="C79" s="17" t="e">
        <f t="shared" si="10"/>
        <v>#DIV/0!</v>
      </c>
      <c r="D79" s="17" t="e">
        <f>B79/(No_who_answered_survey-COUNTIFS(Table2[Your gender. Are you?],Condition_1,Table2[Which of the following primary care team services did you attend today?],"Not answered"))*100</f>
        <v>#DIV/0!</v>
      </c>
    </row>
    <row r="80" spans="1:4" ht="15" customHeight="1">
      <c r="A80" s="15" t="str">
        <f>'Validation List'!G28</f>
        <v>Orthodontic</v>
      </c>
      <c r="B80" s="16">
        <f>COUNTIFS(Table2[Your gender. Are you?],Condition_1,Table2[Which of the following primary care team services did you attend today?],A80)</f>
        <v>0</v>
      </c>
      <c r="C80" s="17" t="e">
        <f t="shared" si="10"/>
        <v>#DIV/0!</v>
      </c>
      <c r="D80" s="17" t="e">
        <f>B80/(No_who_answered_survey-COUNTIFS(Table2[Your gender. Are you?],Condition_1,Table2[Which of the following primary care team services did you attend today?],"Not answered"))*100</f>
        <v>#DIV/0!</v>
      </c>
    </row>
    <row r="81" spans="1:4" ht="15" customHeight="1">
      <c r="A81" s="15" t="str">
        <f>'Validation List'!G29</f>
        <v>Social Work</v>
      </c>
      <c r="B81" s="16">
        <f>COUNTIFS(Table2[Your gender. Are you?],Condition_1,Table2[Which of the following primary care team services did you attend today?],A81)</f>
        <v>0</v>
      </c>
      <c r="C81" s="17" t="e">
        <f t="shared" si="10"/>
        <v>#DIV/0!</v>
      </c>
      <c r="D81" s="17" t="e">
        <f>B81/(No_who_answered_survey-COUNTIFS(Table2[Your gender. Are you?],Condition_1,Table2[Which of the following primary care team services did you attend today?],"Not answered"))*100</f>
        <v>#DIV/0!</v>
      </c>
    </row>
    <row r="82" spans="1:4" ht="15" customHeight="1">
      <c r="A82" s="15" t="str">
        <f>'Validation List'!G30</f>
        <v>Ophthalmic</v>
      </c>
      <c r="B82" s="16">
        <f>COUNTIFS(Table2[Your gender. Are you?],Condition_1,Table2[Which of the following primary care team services did you attend today?],A82)</f>
        <v>0</v>
      </c>
      <c r="C82" s="17" t="e">
        <f t="shared" si="10"/>
        <v>#DIV/0!</v>
      </c>
      <c r="D82" s="17" t="e">
        <f>B82/(No_who_answered_survey-COUNTIFS(Table2[Your gender. Are you?],Condition_1,Table2[Which of the following primary care team services did you attend today?],"Not answered"))*100</f>
        <v>#DIV/0!</v>
      </c>
    </row>
    <row r="83" spans="1:4" ht="15" customHeight="1">
      <c r="A83" s="15" t="str">
        <f>'Validation List'!G31</f>
        <v>Audiology</v>
      </c>
      <c r="B83" s="16">
        <f>COUNTIFS(Table2[Your gender. Are you?],Condition_1,Table2[Which of the following primary care team services did you attend today?],A83)</f>
        <v>0</v>
      </c>
      <c r="C83" s="17" t="e">
        <f t="shared" si="10"/>
        <v>#DIV/0!</v>
      </c>
      <c r="D83" s="17" t="e">
        <f>B83/(No_who_answered_survey-COUNTIFS(Table2[Your gender. Are you?],Condition_1,Table2[Which of the following primary care team services did you attend today?],"Not answered"))*100</f>
        <v>#DIV/0!</v>
      </c>
    </row>
    <row r="84" spans="1:4" ht="15" customHeight="1">
      <c r="A84" s="15" t="str">
        <f>'Validation List'!G32</f>
        <v>Another service</v>
      </c>
      <c r="B84" s="16">
        <f>COUNTIFS(Table2[Your gender. Are you?],Condition_1,Table2[Which of the following primary care team services did you attend today?],A84)</f>
        <v>0</v>
      </c>
      <c r="C84" s="17" t="e">
        <f t="shared" si="10"/>
        <v>#DIV/0!</v>
      </c>
      <c r="D84" s="17" t="e">
        <f>B84/(No_who_answered_survey-COUNTIFS(Table2[Your gender. Are you?],Condition_1,Table2[Which of the following primary care team services did you attend today?],"Not answered"))*100</f>
        <v>#DIV/0!</v>
      </c>
    </row>
    <row r="85" spans="1:4" ht="30" customHeight="1">
      <c r="A85" s="15" t="str">
        <f>'Validation List'!G33</f>
        <v>Attended more than one service</v>
      </c>
      <c r="B85" s="16">
        <f>COUNTIFS(Table2[Your gender. Are you?],Condition_1,Table2[Which of the following primary care team services did you attend today?],A85)</f>
        <v>0</v>
      </c>
      <c r="C85" s="17" t="e">
        <f t="shared" si="10"/>
        <v>#DIV/0!</v>
      </c>
      <c r="D85" s="17" t="e">
        <f>B85/(No_who_answered_survey-COUNTIFS(Table2[Your gender. Are you?],Condition_1,Table2[Which of the following primary care team services did you attend today?],"Not answered"))*100</f>
        <v>#DIV/0!</v>
      </c>
    </row>
    <row r="86" spans="1:4">
      <c r="A86" s="15" t="str">
        <f>'Validation List'!G15</f>
        <v>Not answered</v>
      </c>
      <c r="B86" s="16">
        <f>COUNTIFS(Table2[Your gender. Are you?],Condition_1,Table2[Which of the following primary care team services did you attend today?],A86)</f>
        <v>0</v>
      </c>
      <c r="C86" s="17" t="e">
        <f t="shared" si="9"/>
        <v>#DIV/0!</v>
      </c>
      <c r="D86" s="17"/>
    </row>
    <row r="87" spans="1:4">
      <c r="A87" s="15" t="s">
        <v>39</v>
      </c>
      <c r="B87" s="16">
        <f>SUM(B69:B86)</f>
        <v>0</v>
      </c>
      <c r="C87" s="17" t="e">
        <f>SUM(C69:C86)</f>
        <v>#DIV/0!</v>
      </c>
      <c r="D87" s="17" t="e">
        <f>SUM(D69:D86)</f>
        <v>#DIV/0!</v>
      </c>
    </row>
    <row r="88" spans="1:4">
      <c r="A88" s="18"/>
      <c r="B88" s="13"/>
      <c r="C88" s="22"/>
      <c r="D88" s="22"/>
    </row>
    <row r="89" spans="1:4">
      <c r="A89" s="18"/>
      <c r="B89" s="13"/>
      <c r="C89" s="22"/>
      <c r="D89" s="22"/>
    </row>
    <row r="90" spans="1:4">
      <c r="A90" s="50" t="str">
        <f>'Validation List'!H3</f>
        <v>Patient's experience of accessing the service</v>
      </c>
      <c r="B90" s="50"/>
      <c r="C90" s="50"/>
      <c r="D90" s="51"/>
    </row>
    <row r="91" spans="1:4">
      <c r="A91" s="15"/>
      <c r="B91" s="16" t="s">
        <v>37</v>
      </c>
      <c r="C91" s="17" t="s">
        <v>38</v>
      </c>
      <c r="D91" s="17" t="s">
        <v>42</v>
      </c>
    </row>
    <row r="92" spans="1:4" ht="30">
      <c r="A92" s="15" t="str">
        <f>'Validation List'!H6</f>
        <v>I had no difficulties accessing the service.</v>
      </c>
      <c r="B92" s="16">
        <f>COUNTIFS(Table2[Your gender. Are you?],Condition_1,Table2[Please tell us about your experience accessing the service today?],A92)</f>
        <v>0</v>
      </c>
      <c r="C92" s="17" t="e">
        <f t="shared" ref="C92" si="11">B92/No_who_answered_survey*100</f>
        <v>#DIV/0!</v>
      </c>
      <c r="D92" s="17" t="e">
        <f>B92/(No_who_answered_survey-COUNTIFS(Table2[Your gender. Are you?],Condition_1,Table2[Please tell us about your experience accessing the service today?],"Not answered"))*100</f>
        <v>#DIV/0!</v>
      </c>
    </row>
    <row r="93" spans="1:4" ht="30">
      <c r="A93" s="15" t="str">
        <f>'Validation List'!H7</f>
        <v>The opening times were not suitable.</v>
      </c>
      <c r="B93" s="16">
        <f>COUNTIFS(Table2[Your gender. Are you?],Condition_1,Table2[Please tell us about your experience accessing the service today?],A93)</f>
        <v>0</v>
      </c>
      <c r="C93" s="17" t="e">
        <f t="shared" ref="C93:C99" si="12">B93/No_who_answered_survey*100</f>
        <v>#DIV/0!</v>
      </c>
      <c r="D93" s="17" t="e">
        <f>B93/(No_who_answered_survey-COUNTIFS(Table2[Your gender. Are you?],Condition_1,Table2[Please tell us about your experience accessing the service today?],"Not answered"))*100</f>
        <v>#DIV/0!</v>
      </c>
    </row>
    <row r="94" spans="1:4" ht="45">
      <c r="A94" s="15" t="str">
        <f>'Validation List'!H8</f>
        <v>The waiting times for an appointment were too long.</v>
      </c>
      <c r="B94" s="16">
        <f>COUNTIFS(Table2[Your gender. Are you?],Condition_1,Table2[Please tell us about your experience accessing the service today?],A94)</f>
        <v>0</v>
      </c>
      <c r="C94" s="17" t="e">
        <f t="shared" si="12"/>
        <v>#DIV/0!</v>
      </c>
      <c r="D94" s="17" t="e">
        <f>B94/(No_who_answered_survey-COUNTIFS(Table2[Your gender. Are you?],Condition_1,Table2[Please tell us about your experience accessing the service today?],"Not answered"))*100</f>
        <v>#DIV/0!</v>
      </c>
    </row>
    <row r="95" spans="1:4" ht="60">
      <c r="A95" s="15" t="str">
        <f>'Validation List'!H9</f>
        <v>The service I needed had not been available within the primary care team until now.</v>
      </c>
      <c r="B95" s="16">
        <f>COUNTIFS(Table2[Your gender. Are you?],Condition_1,Table2[Please tell us about your experience accessing the service today?],A95)</f>
        <v>0</v>
      </c>
      <c r="C95" s="17" t="e">
        <f t="shared" si="12"/>
        <v>#DIV/0!</v>
      </c>
      <c r="D95" s="17" t="e">
        <f>B95/(No_who_answered_survey-COUNTIFS(Table2[Your gender. Are you?],Condition_1,Table2[Please tell us about your experience accessing the service today?],"Not answered"))*100</f>
        <v>#DIV/0!</v>
      </c>
    </row>
    <row r="96" spans="1:4" ht="45">
      <c r="A96" s="15" t="str">
        <f>'Validation List'!H10</f>
        <v>I could only get a referral to the service through another service.</v>
      </c>
      <c r="B96" s="16">
        <f>COUNTIFS(Table2[Your gender. Are you?],Condition_1,Table2[Please tell us about your experience accessing the service today?],A96)</f>
        <v>0</v>
      </c>
      <c r="C96" s="17" t="e">
        <f t="shared" si="12"/>
        <v>#DIV/0!</v>
      </c>
      <c r="D96" s="17" t="e">
        <f>B96/(No_who_answered_survey-COUNTIFS(Table2[Your gender. Are you?],Condition_1,Table2[Please tell us about your experience accessing the service today?],"Not answered"))*100</f>
        <v>#DIV/0!</v>
      </c>
    </row>
    <row r="97" spans="1:4">
      <c r="A97" s="15" t="str">
        <f>'Validation List'!H11</f>
        <v>Other difficulty</v>
      </c>
      <c r="B97" s="16">
        <f>COUNTIFS(Table2[Your gender. Are you?],Condition_1,Table2[Please tell us about your experience accessing the service today?],A97)</f>
        <v>0</v>
      </c>
      <c r="C97" s="17" t="e">
        <f t="shared" si="12"/>
        <v>#DIV/0!</v>
      </c>
      <c r="D97" s="17" t="e">
        <f>B97/(No_who_answered_survey-COUNTIFS(Table2[Your gender. Are you?],Condition_1,Table2[Please tell us about your experience accessing the service today?],"Not answered"))*100</f>
        <v>#DIV/0!</v>
      </c>
    </row>
    <row r="98" spans="1:4">
      <c r="A98" s="15" t="str">
        <f>'Validation List'!H12</f>
        <v>More than one difficulty</v>
      </c>
      <c r="B98" s="16">
        <f>COUNTIFS(Table2[Your gender. Are you?],Condition_1,Table2[Please tell us about your experience accessing the service today?],A98)</f>
        <v>0</v>
      </c>
      <c r="C98" s="17" t="e">
        <f t="shared" si="12"/>
        <v>#DIV/0!</v>
      </c>
      <c r="D98" s="17" t="e">
        <f>B98/(No_who_answered_survey-COUNTIFS(Table2[Your gender. Are you?],Condition_1,Table2[Please tell us about your experience accessing the service today?],"Not answered"))*100</f>
        <v>#DIV/0!</v>
      </c>
    </row>
    <row r="99" spans="1:4">
      <c r="A99" s="15" t="str">
        <f>'Validation List'!H15</f>
        <v>Not answered</v>
      </c>
      <c r="B99" s="16">
        <f>COUNTIFS(Table2[Your gender. Are you?],Condition_1,Table2[Please tell us about your experience accessing the service today?],A99)</f>
        <v>0</v>
      </c>
      <c r="C99" s="17" t="e">
        <f t="shared" si="12"/>
        <v>#DIV/0!</v>
      </c>
      <c r="D99" s="17"/>
    </row>
    <row r="100" spans="1:4">
      <c r="A100" s="15" t="s">
        <v>39</v>
      </c>
      <c r="B100" s="16">
        <f>SUM(B92:B99)</f>
        <v>0</v>
      </c>
      <c r="C100" s="17" t="e">
        <f>SUM(C92:C99)</f>
        <v>#DIV/0!</v>
      </c>
      <c r="D100" s="17" t="e">
        <f>SUM(D92:D99)</f>
        <v>#DIV/0!</v>
      </c>
    </row>
    <row r="101" spans="1:4">
      <c r="A101" s="18"/>
      <c r="B101" s="13"/>
      <c r="C101" s="22"/>
      <c r="D101" s="22"/>
    </row>
    <row r="102" spans="1:4">
      <c r="A102" s="18"/>
      <c r="B102" s="13"/>
      <c r="C102" s="22"/>
      <c r="D102" s="22"/>
    </row>
    <row r="103" spans="1:4" ht="27" customHeight="1">
      <c r="A103" s="50" t="str">
        <f>'Validation List'!I3</f>
        <v>Place of patient's appointment</v>
      </c>
      <c r="B103" s="50"/>
      <c r="C103" s="50"/>
      <c r="D103" s="51"/>
    </row>
    <row r="104" spans="1:4">
      <c r="A104" s="15"/>
      <c r="B104" s="16" t="s">
        <v>37</v>
      </c>
      <c r="C104" s="17" t="s">
        <v>38</v>
      </c>
      <c r="D104" s="17" t="s">
        <v>42</v>
      </c>
    </row>
    <row r="105" spans="1:4">
      <c r="A105" s="15" t="str">
        <f>'Validation List'!I6</f>
        <v>Primary Care Health Centre</v>
      </c>
      <c r="B105" s="16">
        <f>COUNTIFS(Table2[Your gender. Are you?],Condition_1,Table2[Where did your appointment take place?],A105)</f>
        <v>0</v>
      </c>
      <c r="C105" s="17" t="e">
        <f t="shared" ref="C105" si="13">B105/No_who_answered_survey*100</f>
        <v>#DIV/0!</v>
      </c>
      <c r="D105" s="17" t="e">
        <f>B105/(No_who_answered_survey-COUNTIFS(Table2[Your gender. Are you?],Condition_1,Table2[Where did your appointment take place?],"Not answered"))*100</f>
        <v>#DIV/0!</v>
      </c>
    </row>
    <row r="106" spans="1:4">
      <c r="A106" s="15" t="str">
        <f>'Validation List'!I7</f>
        <v>GP Surgery</v>
      </c>
      <c r="B106" s="16">
        <f>COUNTIFS(Table2[Your gender. Are you?],Condition_1,Table2[Where did your appointment take place?],A106)</f>
        <v>0</v>
      </c>
      <c r="C106" s="17" t="e">
        <f t="shared" ref="C106:C109" si="14">B106/No_who_answered_survey*100</f>
        <v>#DIV/0!</v>
      </c>
      <c r="D106" s="17" t="e">
        <f>B106/(No_who_answered_survey-COUNTIFS(Table2[Your gender. Are you?],Condition_1,Table2[Where did your appointment take place?],"Not answered"))*100</f>
        <v>#DIV/0!</v>
      </c>
    </row>
    <row r="107" spans="1:4">
      <c r="A107" s="15" t="str">
        <f>'Validation List'!I8</f>
        <v>Patient's Home</v>
      </c>
      <c r="B107" s="16">
        <f>COUNTIFS(Table2[Your gender. Are you?],Condition_1,Table2[Where did your appointment take place?],A107)</f>
        <v>0</v>
      </c>
      <c r="C107" s="17" t="e">
        <f t="shared" si="14"/>
        <v>#DIV/0!</v>
      </c>
      <c r="D107" s="17" t="e">
        <f>B107/(No_who_answered_survey-COUNTIFS(Table2[Your gender. Are you?],Condition_1,Table2[Where did your appointment take place?],"Not answered"))*100</f>
        <v>#DIV/0!</v>
      </c>
    </row>
    <row r="108" spans="1:4">
      <c r="A108" s="15" t="str">
        <f>'Validation List'!I9</f>
        <v>Another location</v>
      </c>
      <c r="B108" s="16">
        <f>COUNTIFS(Table2[Your gender. Are you?],Condition_1,Table2[Where did your appointment take place?],A108)</f>
        <v>0</v>
      </c>
      <c r="C108" s="17" t="e">
        <f t="shared" si="14"/>
        <v>#DIV/0!</v>
      </c>
      <c r="D108" s="17" t="e">
        <f>B108/(No_who_answered_survey-COUNTIFS(Table2[Your gender. Are you?],Condition_1,Table2[Where did your appointment take place?],"Not answered"))*100</f>
        <v>#DIV/0!</v>
      </c>
    </row>
    <row r="109" spans="1:4">
      <c r="A109" s="15" t="str">
        <f>'Validation List'!I15</f>
        <v>Not answered</v>
      </c>
      <c r="B109" s="16">
        <f>COUNTIFS(Table2[Your gender. Are you?],Condition_1,Table2[Where did your appointment take place?],A109)</f>
        <v>0</v>
      </c>
      <c r="C109" s="17" t="e">
        <f t="shared" si="14"/>
        <v>#DIV/0!</v>
      </c>
      <c r="D109" s="17"/>
    </row>
    <row r="110" spans="1:4">
      <c r="A110" s="15" t="s">
        <v>39</v>
      </c>
      <c r="B110" s="16">
        <f>SUM(B105:B109)</f>
        <v>0</v>
      </c>
      <c r="C110" s="17" t="e">
        <f>SUM(C105:C109)</f>
        <v>#DIV/0!</v>
      </c>
      <c r="D110" s="17" t="e">
        <f>SUM(D105:D109)</f>
        <v>#DIV/0!</v>
      </c>
    </row>
    <row r="111" spans="1:4">
      <c r="A111" s="18"/>
      <c r="B111" s="13"/>
      <c r="C111" s="22"/>
      <c r="D111" s="22"/>
    </row>
    <row r="112" spans="1:4">
      <c r="A112" s="18"/>
      <c r="B112" s="13"/>
      <c r="C112" s="22"/>
      <c r="D112" s="22"/>
    </row>
    <row r="113" spans="1:4">
      <c r="A113" s="47" t="str">
        <f>'Validation List'!J3</f>
        <v>Suitability of appointment time</v>
      </c>
      <c r="B113" s="48"/>
      <c r="C113" s="48"/>
      <c r="D113" s="49"/>
    </row>
    <row r="114" spans="1:4">
      <c r="A114" s="15"/>
      <c r="B114" s="16" t="s">
        <v>37</v>
      </c>
      <c r="C114" s="17" t="s">
        <v>38</v>
      </c>
      <c r="D114" s="17" t="s">
        <v>42</v>
      </c>
    </row>
    <row r="115" spans="1:4" ht="45">
      <c r="A115" s="15" t="str">
        <f>'Validation List'!J6</f>
        <v>The appointment time given to me was most suitable.</v>
      </c>
      <c r="B115" s="16">
        <f>COUNTIFS(Table2[Your gender. Are you?],Condition_1,Table2[Tell us about the suitability of your appointment time?],A115)</f>
        <v>0</v>
      </c>
      <c r="C115" s="17" t="e">
        <f t="shared" ref="C115" si="15">B115/No_who_answered_survey*100</f>
        <v>#DIV/0!</v>
      </c>
      <c r="D115" s="17" t="e">
        <f>B115/(No_who_answered_survey-COUNTIFS(Table2[Your gender. Are you?],Condition_1,Table2[Tell us about the suitability of your appointment time?],"Not answered"))*100</f>
        <v>#DIV/0!</v>
      </c>
    </row>
    <row r="116" spans="1:4" ht="45">
      <c r="A116" s="15" t="str">
        <f>'Validation List'!J7</f>
        <v>I would have preferred an appointment time before 9am.</v>
      </c>
      <c r="B116" s="16">
        <f>COUNTIFS(Table2[Your gender. Are you?],Condition_1,Table2[Tell us about the suitability of your appointment time?],A116)</f>
        <v>0</v>
      </c>
      <c r="C116" s="17" t="e">
        <f t="shared" ref="C116:C120" si="16">B116/No_who_answered_survey*100</f>
        <v>#DIV/0!</v>
      </c>
      <c r="D116" s="17" t="e">
        <f>B116/(No_who_answered_survey-COUNTIFS(Table2[Your gender. Are you?],Condition_1,Table2[Tell us about the suitability of your appointment time?],"Not answered"))*100</f>
        <v>#DIV/0!</v>
      </c>
    </row>
    <row r="117" spans="1:4" ht="45">
      <c r="A117" s="15" t="str">
        <f>'Validation List'!J8</f>
        <v>I would have preferred an appointment time from 12pm-1pm.</v>
      </c>
      <c r="B117" s="16">
        <f>COUNTIFS(Table2[Your gender. Are you?],Condition_1,Table2[Tell us about the suitability of your appointment time?],A117)</f>
        <v>0</v>
      </c>
      <c r="C117" s="17" t="e">
        <f t="shared" si="16"/>
        <v>#DIV/0!</v>
      </c>
      <c r="D117" s="17" t="e">
        <f>B117/(No_who_answered_survey-COUNTIFS(Table2[Your gender. Are you?],Condition_1,Table2[Tell us about the suitability of your appointment time?],"Not answered"))*100</f>
        <v>#DIV/0!</v>
      </c>
    </row>
    <row r="118" spans="1:4" ht="45">
      <c r="A118" s="15" t="str">
        <f>'Validation List'!J9</f>
        <v>I would have preferred an appointment time from 1pm-2pm.</v>
      </c>
      <c r="B118" s="16">
        <f>COUNTIFS(Table2[Your gender. Are you?],Condition_1,Table2[Tell us about the suitability of your appointment time?],A118)</f>
        <v>0</v>
      </c>
      <c r="C118" s="17" t="e">
        <f t="shared" si="16"/>
        <v>#DIV/0!</v>
      </c>
      <c r="D118" s="17" t="e">
        <f>B118/(No_who_answered_survey-COUNTIFS(Table2[Your gender. Are you?],Condition_1,Table2[Tell us about the suitability of your appointment time?],"Not answered"))*100</f>
        <v>#DIV/0!</v>
      </c>
    </row>
    <row r="119" spans="1:4" ht="45">
      <c r="A119" s="15" t="str">
        <f>'Validation List'!J10</f>
        <v>I would have preferred an appointment time after 5pm.</v>
      </c>
      <c r="B119" s="16">
        <f>COUNTIFS(Table2[Your gender. Are you?],Condition_1,Table2[Tell us about the suitability of your appointment time?],A119)</f>
        <v>0</v>
      </c>
      <c r="C119" s="17" t="e">
        <f t="shared" si="16"/>
        <v>#DIV/0!</v>
      </c>
      <c r="D119" s="17" t="e">
        <f>B119/(No_who_answered_survey-COUNTIFS(Table2[Your gender. Are you?],Condition_1,Table2[Tell us about the suitability of your appointment time?],"Not answered"))*100</f>
        <v>#DIV/0!</v>
      </c>
    </row>
    <row r="120" spans="1:4">
      <c r="A120" s="15" t="str">
        <f>'Validation List'!J15</f>
        <v>Not answered</v>
      </c>
      <c r="B120" s="16">
        <f>COUNTIFS(Table2[Your gender. Are you?],Condition_1,Table2[Tell us about the suitability of your appointment time?],A120)</f>
        <v>0</v>
      </c>
      <c r="C120" s="17" t="e">
        <f t="shared" si="16"/>
        <v>#DIV/0!</v>
      </c>
      <c r="D120" s="17"/>
    </row>
    <row r="121" spans="1:4">
      <c r="A121" s="15" t="s">
        <v>39</v>
      </c>
      <c r="B121" s="16">
        <f>SUM(B115:B120)</f>
        <v>0</v>
      </c>
      <c r="C121" s="17" t="e">
        <f>SUM(C115:C120)</f>
        <v>#DIV/0!</v>
      </c>
      <c r="D121" s="17" t="e">
        <f>SUM(D115:D120)</f>
        <v>#DIV/0!</v>
      </c>
    </row>
    <row r="122" spans="1:4">
      <c r="A122" s="18"/>
      <c r="B122" s="13"/>
      <c r="C122" s="22"/>
      <c r="D122" s="22"/>
    </row>
    <row r="123" spans="1:4">
      <c r="A123" s="18"/>
      <c r="B123" s="13"/>
      <c r="C123" s="22"/>
      <c r="D123" s="22"/>
    </row>
    <row r="124" spans="1:4" ht="27" customHeight="1">
      <c r="A124" s="47" t="str">
        <f>'Validation List'!K3</f>
        <v>Ease of access and use of the building during visit</v>
      </c>
      <c r="B124" s="48"/>
      <c r="C124" s="48"/>
      <c r="D124" s="49"/>
    </row>
    <row r="125" spans="1:4">
      <c r="A125" s="15"/>
      <c r="B125" s="16" t="s">
        <v>37</v>
      </c>
      <c r="C125" s="17" t="s">
        <v>38</v>
      </c>
      <c r="D125" s="17" t="s">
        <v>42</v>
      </c>
    </row>
    <row r="126" spans="1:4">
      <c r="A126" s="15" t="str">
        <f>'Validation List'!K6</f>
        <v>Very easy</v>
      </c>
      <c r="B126" s="16">
        <f>COUNTIFS(Table2[Your gender. Are you?],Condition_1,Table2[How easy was it for you to access and use the building during your visit?],A126)</f>
        <v>0</v>
      </c>
      <c r="C126" s="17" t="e">
        <f t="shared" ref="C126" si="17">B126/No_who_answered_survey*100</f>
        <v>#DIV/0!</v>
      </c>
      <c r="D126" s="17" t="e">
        <f>B126/(No_who_answered_survey-COUNTIFS(Table2[Your gender. Are you?],Condition_1,Table2[How easy was it for you to access and use the building during your visit?],"Not answered")-COUNTIFS(Table2[Your gender. Are you?],Condition_1,Table2[How easy was it for you to access and use the building during your visit?],"N/A"))*100</f>
        <v>#DIV/0!</v>
      </c>
    </row>
    <row r="127" spans="1:4">
      <c r="A127" s="15" t="str">
        <f>'Validation List'!K7</f>
        <v>Easy</v>
      </c>
      <c r="B127" s="16">
        <f>COUNTIFS(Table2[Your gender. Are you?],Condition_1,Table2[How easy was it for you to access and use the building during your visit?],A127)</f>
        <v>0</v>
      </c>
      <c r="C127" s="17" t="e">
        <f t="shared" ref="C127:C131" si="18">B127/No_who_answered_survey*100</f>
        <v>#DIV/0!</v>
      </c>
      <c r="D127" s="17" t="e">
        <f>B127/(No_who_answered_survey-COUNTIFS(Table2[Your gender. Are you?],Condition_1,Table2[How easy was it for you to access and use the building during your visit?],"Not answered")-COUNTIFS(Table2[Your gender. Are you?],Condition_1,Table2[How easy was it for you to access and use the building during your visit?],"N/A"))*100</f>
        <v>#DIV/0!</v>
      </c>
    </row>
    <row r="128" spans="1:4">
      <c r="A128" s="15" t="str">
        <f>'Validation List'!K8</f>
        <v>Difficult</v>
      </c>
      <c r="B128" s="16">
        <f>COUNTIFS(Table2[Your gender. Are you?],Condition_1,Table2[How easy was it for you to access and use the building during your visit?],A128)</f>
        <v>0</v>
      </c>
      <c r="C128" s="17" t="e">
        <f t="shared" si="18"/>
        <v>#DIV/0!</v>
      </c>
      <c r="D128" s="17" t="e">
        <f>B128/(No_who_answered_survey-COUNTIFS(Table2[Your gender. Are you?],Condition_1,Table2[How easy was it for you to access and use the building during your visit?],"Not answered")-COUNTIFS(Table2[Your gender. Are you?],Condition_1,Table2[How easy was it for you to access and use the building during your visit?],"N/A"))*100</f>
        <v>#DIV/0!</v>
      </c>
    </row>
    <row r="129" spans="1:4">
      <c r="A129" s="15" t="str">
        <f>'Validation List'!K9</f>
        <v>Very difficult</v>
      </c>
      <c r="B129" s="16">
        <f>COUNTIFS(Table2[Your gender. Are you?],Condition_1,Table2[How easy was it for you to access and use the building during your visit?],A129)</f>
        <v>0</v>
      </c>
      <c r="C129" s="17" t="e">
        <f t="shared" si="18"/>
        <v>#DIV/0!</v>
      </c>
      <c r="D129" s="17" t="e">
        <f>B129/(No_who_answered_survey-COUNTIFS(Table2[Your gender. Are you?],Condition_1,Table2[How easy was it for you to access and use the building during your visit?],"Not answered")-COUNTIFS(Table2[Your gender. Are you?],Condition_1,Table2[How easy was it for you to access and use the building during your visit?],"N/A"))*100</f>
        <v>#DIV/0!</v>
      </c>
    </row>
    <row r="130" spans="1:4">
      <c r="A130" s="15" t="str">
        <f>'Validation List'!K10</f>
        <v>N/A</v>
      </c>
      <c r="B130" s="16">
        <f>COUNTIFS(Table2[Your gender. Are you?],Condition_1,Table2[How easy was it for you to access and use the building during your visit?],A130)</f>
        <v>0</v>
      </c>
      <c r="C130" s="17" t="e">
        <f t="shared" si="18"/>
        <v>#DIV/0!</v>
      </c>
      <c r="D130" s="17"/>
    </row>
    <row r="131" spans="1:4">
      <c r="A131" s="15" t="str">
        <f>'Validation List'!K15</f>
        <v>Not answered</v>
      </c>
      <c r="B131" s="16">
        <f>COUNTIFS(Table2[Your gender. Are you?],Condition_1,Table2[How easy was it for you to access and use the building during your visit?],A131)</f>
        <v>0</v>
      </c>
      <c r="C131" s="17" t="e">
        <f t="shared" si="18"/>
        <v>#DIV/0!</v>
      </c>
      <c r="D131" s="17"/>
    </row>
    <row r="132" spans="1:4">
      <c r="A132" s="15" t="s">
        <v>39</v>
      </c>
      <c r="B132" s="16">
        <f>SUM(B126:B131)</f>
        <v>0</v>
      </c>
      <c r="C132" s="17" t="e">
        <f>SUM(C126:C131)</f>
        <v>#DIV/0!</v>
      </c>
      <c r="D132" s="17" t="e">
        <f>SUM(D126:D131)</f>
        <v>#DIV/0!</v>
      </c>
    </row>
    <row r="133" spans="1:4">
      <c r="A133" s="18"/>
      <c r="B133" s="13"/>
      <c r="C133" s="22"/>
      <c r="D133" s="22"/>
    </row>
    <row r="134" spans="1:4">
      <c r="A134" s="18"/>
      <c r="B134" s="13"/>
      <c r="C134" s="22"/>
      <c r="D134" s="22"/>
    </row>
    <row r="135" spans="1:4">
      <c r="A135" s="50" t="str">
        <f>'Validation List'!L3</f>
        <v>Buildings and facilities cleanliness and tidiness</v>
      </c>
      <c r="B135" s="50"/>
      <c r="C135" s="50"/>
      <c r="D135" s="51"/>
    </row>
    <row r="136" spans="1:4">
      <c r="A136" s="15"/>
      <c r="B136" s="16" t="s">
        <v>37</v>
      </c>
      <c r="C136" s="17" t="s">
        <v>38</v>
      </c>
      <c r="D136" s="17" t="s">
        <v>42</v>
      </c>
    </row>
    <row r="137" spans="1:4">
      <c r="A137" s="15" t="str">
        <f>'Validation List'!L6</f>
        <v>Yes</v>
      </c>
      <c r="B137" s="16">
        <f>COUNTIFS(Table2[Your gender. Are you?],Condition_1,Table2[Were the buildings and facilities clean and tidy?],A137)</f>
        <v>0</v>
      </c>
      <c r="C137" s="17" t="e">
        <f t="shared" ref="C137" si="19">B137/No_who_answered_survey*100</f>
        <v>#DIV/0!</v>
      </c>
      <c r="D137" s="17" t="e">
        <f>B137/(No_who_answered_survey-COUNTIFS(Table2[Your gender. Are you?],Condition_1,Table2[Were the buildings and facilities clean and tidy?],"Not answered")-COUNTIFS(Table2[Your gender. Are you?],Condition_1,Table2[Were the buildings and facilities clean and tidy?],"N/A"))*100</f>
        <v>#DIV/0!</v>
      </c>
    </row>
    <row r="138" spans="1:4">
      <c r="A138" s="15" t="str">
        <f>'Validation List'!L7</f>
        <v>No</v>
      </c>
      <c r="B138" s="16">
        <f>COUNTIFS(Table2[Your gender. Are you?],Condition_1,Table2[Were the buildings and facilities clean and tidy?],A138)</f>
        <v>0</v>
      </c>
      <c r="C138" s="17" t="e">
        <f t="shared" ref="C138:C140" si="20">B138/No_who_answered_survey*100</f>
        <v>#DIV/0!</v>
      </c>
      <c r="D138" s="17" t="e">
        <f>B138/(No_who_answered_survey-COUNTIFS(Table2[Your gender. Are you?],Condition_1,Table2[Were the buildings and facilities clean and tidy?],"Not answered")-COUNTIFS(Table2[Your gender. Are you?],Condition_1,Table2[Were the buildings and facilities clean and tidy?],"N/A"))*100</f>
        <v>#DIV/0!</v>
      </c>
    </row>
    <row r="139" spans="1:4">
      <c r="A139" s="15" t="str">
        <f>'Validation List'!L8</f>
        <v>N/A</v>
      </c>
      <c r="B139" s="16">
        <f>COUNTIFS(Table2[Your gender. Are you?],Condition_1,Table2[Were the buildings and facilities clean and tidy?],A139)</f>
        <v>0</v>
      </c>
      <c r="C139" s="17" t="e">
        <f t="shared" si="20"/>
        <v>#DIV/0!</v>
      </c>
      <c r="D139" s="17"/>
    </row>
    <row r="140" spans="1:4">
      <c r="A140" s="15" t="str">
        <f>'Validation List'!L15</f>
        <v>Not answered</v>
      </c>
      <c r="B140" s="16">
        <f>COUNTIFS(Table2[Your gender. Are you?],Condition_1,Table2[Were the buildings and facilities clean and tidy?],A140)</f>
        <v>0</v>
      </c>
      <c r="C140" s="17" t="e">
        <f t="shared" si="20"/>
        <v>#DIV/0!</v>
      </c>
      <c r="D140" s="17"/>
    </row>
    <row r="141" spans="1:4">
      <c r="A141" s="15" t="s">
        <v>39</v>
      </c>
      <c r="B141" s="16">
        <f>SUM(B137:B140)</f>
        <v>0</v>
      </c>
      <c r="C141" s="17" t="e">
        <f>SUM(C137:C140)</f>
        <v>#DIV/0!</v>
      </c>
      <c r="D141" s="17" t="e">
        <f>SUM(D137:D140)</f>
        <v>#DIV/0!</v>
      </c>
    </row>
    <row r="142" spans="1:4">
      <c r="A142" s="18"/>
      <c r="B142" s="13"/>
      <c r="C142" s="22"/>
      <c r="D142" s="22"/>
    </row>
    <row r="143" spans="1:4">
      <c r="A143" s="18"/>
      <c r="B143" s="13"/>
      <c r="C143" s="22"/>
      <c r="D143" s="22"/>
    </row>
    <row r="144" spans="1:4" ht="26.25" customHeight="1">
      <c r="A144" s="50" t="str">
        <f>'Validation List'!M3</f>
        <v>Time waiting to see the healthcare professional on day of survey</v>
      </c>
      <c r="B144" s="50"/>
      <c r="C144" s="50"/>
      <c r="D144" s="51"/>
    </row>
    <row r="145" spans="1:4">
      <c r="A145" s="15"/>
      <c r="B145" s="16" t="s">
        <v>37</v>
      </c>
      <c r="C145" s="17" t="s">
        <v>38</v>
      </c>
      <c r="D145" s="17" t="s">
        <v>42</v>
      </c>
    </row>
    <row r="146" spans="1:4">
      <c r="A146" s="15" t="str">
        <f>'Validation List'!M6</f>
        <v>Less than 15 minutes</v>
      </c>
      <c r="B146" s="16">
        <f>COUNTIFS(Table2[Your gender. Are you?],Condition_1,Table2[How long did you spend waiting to see the healthcare professional today?],A146)</f>
        <v>0</v>
      </c>
      <c r="C146" s="17" t="e">
        <f t="shared" ref="C146" si="21">B146/No_who_answered_survey*100</f>
        <v>#DIV/0!</v>
      </c>
      <c r="D146" s="17" t="e">
        <f>B146/(No_who_answered_survey-COUNTIFS(Table2[Your gender. Are you?],Condition_1,Table2[How long did you spend waiting to see the healthcare professional today?],"Not answered"))*100</f>
        <v>#DIV/0!</v>
      </c>
    </row>
    <row r="147" spans="1:4">
      <c r="A147" s="15" t="str">
        <f>'Validation List'!M7</f>
        <v>15 to 30 minutes</v>
      </c>
      <c r="B147" s="16">
        <f>COUNTIFS(Table2[Your gender. Are you?],Condition_1,Table2[How long did you spend waiting to see the healthcare professional today?],A147)</f>
        <v>0</v>
      </c>
      <c r="C147" s="17" t="e">
        <f t="shared" ref="C147:C150" si="22">B147/No_who_answered_survey*100</f>
        <v>#DIV/0!</v>
      </c>
      <c r="D147" s="17" t="e">
        <f>B147/(No_who_answered_survey-COUNTIFS(Table2[Your gender. Are you?],Condition_1,Table2[How long did you spend waiting to see the healthcare professional today?],"Not answered"))*100</f>
        <v>#DIV/0!</v>
      </c>
    </row>
    <row r="148" spans="1:4">
      <c r="A148" s="15" t="str">
        <f>'Validation List'!M8</f>
        <v>31 to 45 minutes</v>
      </c>
      <c r="B148" s="16">
        <f>COUNTIFS(Table2[Your gender. Are you?],Condition_1,Table2[How long did you spend waiting to see the healthcare professional today?],A148)</f>
        <v>0</v>
      </c>
      <c r="C148" s="17" t="e">
        <f t="shared" si="22"/>
        <v>#DIV/0!</v>
      </c>
      <c r="D148" s="17" t="e">
        <f>B148/(No_who_answered_survey-COUNTIFS(Table2[Your gender. Are you?],Condition_1,Table2[How long did you spend waiting to see the healthcare professional today?],"Not answered"))*100</f>
        <v>#DIV/0!</v>
      </c>
    </row>
    <row r="149" spans="1:4">
      <c r="A149" s="15" t="str">
        <f>'Validation List'!M9</f>
        <v>Over 45 minutes</v>
      </c>
      <c r="B149" s="16">
        <f>COUNTIFS(Table2[Your gender. Are you?],Condition_1,Table2[How long did you spend waiting to see the healthcare professional today?],A149)</f>
        <v>0</v>
      </c>
      <c r="C149" s="17" t="e">
        <f t="shared" si="22"/>
        <v>#DIV/0!</v>
      </c>
      <c r="D149" s="17" t="e">
        <f>B149/(No_who_answered_survey-COUNTIFS(Table2[Your gender. Are you?],Condition_1,Table2[How long did you spend waiting to see the healthcare professional today?],"Not answered"))*100</f>
        <v>#DIV/0!</v>
      </c>
    </row>
    <row r="150" spans="1:4">
      <c r="A150" s="15" t="str">
        <f>'Validation List'!M15</f>
        <v>Not answered</v>
      </c>
      <c r="B150" s="16">
        <f>COUNTIFS(Table2[Your gender. Are you?],Condition_1,Table2[How long did you spend waiting to see the healthcare professional today?],A150)</f>
        <v>0</v>
      </c>
      <c r="C150" s="17" t="e">
        <f t="shared" si="22"/>
        <v>#DIV/0!</v>
      </c>
      <c r="D150" s="17"/>
    </row>
    <row r="151" spans="1:4">
      <c r="A151" s="15" t="s">
        <v>39</v>
      </c>
      <c r="B151" s="16">
        <f>SUM(B146:B150)</f>
        <v>0</v>
      </c>
      <c r="C151" s="17" t="e">
        <f>SUM(C146:C150)</f>
        <v>#DIV/0!</v>
      </c>
      <c r="D151" s="17" t="e">
        <f>SUM(D146:D150)</f>
        <v>#DIV/0!</v>
      </c>
    </row>
    <row r="152" spans="1:4">
      <c r="A152" s="18"/>
      <c r="B152" s="13"/>
      <c r="C152" s="22"/>
      <c r="D152" s="22"/>
    </row>
    <row r="153" spans="1:4">
      <c r="A153" s="18"/>
      <c r="B153" s="13"/>
      <c r="C153" s="22"/>
      <c r="D153" s="22"/>
    </row>
    <row r="154" spans="1:4">
      <c r="A154" s="50" t="str">
        <f>'Validation List'!N3</f>
        <v>Healthcare professional washed or cleaned their hands prior to patient contact</v>
      </c>
      <c r="B154" s="50"/>
      <c r="C154" s="50"/>
      <c r="D154" s="51"/>
    </row>
    <row r="155" spans="1:4">
      <c r="A155" s="15"/>
      <c r="B155" s="16" t="s">
        <v>37</v>
      </c>
      <c r="C155" s="17" t="s">
        <v>38</v>
      </c>
      <c r="D155" s="17" t="s">
        <v>42</v>
      </c>
    </row>
    <row r="156" spans="1:4">
      <c r="A156" s="15" t="str">
        <f>'Validation List'!N6</f>
        <v>Yes</v>
      </c>
      <c r="B156" s="16">
        <f>COUNTIFS(Table2[Your gender. Are you?],Condition_1,Table2[Did the healthcare professional wash or clean their hands when coming into contact with you?],A156)</f>
        <v>0</v>
      </c>
      <c r="C156" s="17" t="e">
        <f t="shared" ref="C156:C159" si="23">B156/No_who_answered_survey*100</f>
        <v>#DIV/0!</v>
      </c>
      <c r="D156" s="17" t="e">
        <f>B156/(No_who_answered_survey-COUNTIFS(Table2[Your gender. Are you?],Condition_1,Table2[Did the healthcare professional wash or clean their hands when coming into contact with you?],"Not answered"))*100</f>
        <v>#DIV/0!</v>
      </c>
    </row>
    <row r="157" spans="1:4">
      <c r="A157" s="15" t="str">
        <f>'Validation List'!N7</f>
        <v>No</v>
      </c>
      <c r="B157" s="16">
        <f>COUNTIFS(Table2[Your gender. Are you?],Condition_1,Table2[Did the healthcare professional wash or clean their hands when coming into contact with you?],A157)</f>
        <v>0</v>
      </c>
      <c r="C157" s="17" t="e">
        <f t="shared" si="23"/>
        <v>#DIV/0!</v>
      </c>
      <c r="D157" s="17" t="e">
        <f>B157/(No_who_answered_survey-COUNTIFS(Table2[Your gender. Are you?],Condition_1,Table2[Did the healthcare professional wash or clean their hands when coming into contact with you?],"Not answered"))*100</f>
        <v>#DIV/0!</v>
      </c>
    </row>
    <row r="158" spans="1:4">
      <c r="A158" s="15" t="str">
        <f>'Validation List'!N8</f>
        <v>Can't recall</v>
      </c>
      <c r="B158" s="16">
        <f>COUNTIFS(Table2[Your gender. Are you?],Condition_1,Table2[Did the healthcare professional wash or clean their hands when coming into contact with you?],A158)</f>
        <v>0</v>
      </c>
      <c r="C158" s="17" t="e">
        <f t="shared" si="23"/>
        <v>#DIV/0!</v>
      </c>
      <c r="D158" s="17" t="e">
        <f>B158/(No_who_answered_survey-COUNTIFS(Table2[Your gender. Are you?],Condition_1,Table2[Did the healthcare professional wash or clean their hands when coming into contact with you?],"Not answered"))*100</f>
        <v>#DIV/0!</v>
      </c>
    </row>
    <row r="159" spans="1:4">
      <c r="A159" s="15" t="str">
        <f>'Validation List'!N15</f>
        <v>Not answered</v>
      </c>
      <c r="B159" s="16">
        <f>COUNTIFS(Table2[Your gender. Are you?],Condition_1,Table2[Did the healthcare professional wash or clean their hands when coming into contact with you?],A159)</f>
        <v>0</v>
      </c>
      <c r="C159" s="17" t="e">
        <f t="shared" si="23"/>
        <v>#DIV/0!</v>
      </c>
      <c r="D159" s="17"/>
    </row>
    <row r="160" spans="1:4">
      <c r="A160" s="15" t="s">
        <v>39</v>
      </c>
      <c r="B160" s="16">
        <f>SUM(B156:B159)</f>
        <v>0</v>
      </c>
      <c r="C160" s="17" t="e">
        <f>SUM(C156:C159)</f>
        <v>#DIV/0!</v>
      </c>
      <c r="D160" s="17" t="e">
        <f>SUM(D156:D159)</f>
        <v>#DIV/0!</v>
      </c>
    </row>
    <row r="161" spans="1:4">
      <c r="A161" s="18"/>
      <c r="B161" s="13"/>
      <c r="C161" s="22"/>
      <c r="D161" s="22"/>
    </row>
    <row r="162" spans="1:4">
      <c r="A162" s="18"/>
      <c r="B162" s="13"/>
      <c r="C162" s="22"/>
      <c r="D162" s="22"/>
    </row>
    <row r="163" spans="1:4">
      <c r="A163" s="50" t="str">
        <f>'Validation List'!O3</f>
        <v>Healthcare professional introduced themselves to patient</v>
      </c>
      <c r="B163" s="50"/>
      <c r="C163" s="50"/>
      <c r="D163" s="51"/>
    </row>
    <row r="164" spans="1:4">
      <c r="A164" s="15"/>
      <c r="B164" s="16" t="s">
        <v>37</v>
      </c>
      <c r="C164" s="17" t="s">
        <v>38</v>
      </c>
      <c r="D164" s="17" t="s">
        <v>42</v>
      </c>
    </row>
    <row r="165" spans="1:4">
      <c r="A165" s="15" t="str">
        <f>'Validation List'!O6</f>
        <v>Yes</v>
      </c>
      <c r="B165" s="16">
        <f>COUNTIFS(Table2[Your gender. Are you?],Condition_1,Table2[Did the healthcare professional introduce themselves to you?],A165)</f>
        <v>0</v>
      </c>
      <c r="C165" s="17" t="e">
        <f t="shared" ref="C165:C168" si="24">B165/No_who_answered_survey*100</f>
        <v>#DIV/0!</v>
      </c>
      <c r="D165" s="17" t="e">
        <f>B165/(No_who_answered_survey-COUNTIFS(Table2[Your gender. Are you?],Condition_1,Table2[Did the healthcare professional introduce themselves to you?],"Not answered"))*100</f>
        <v>#DIV/0!</v>
      </c>
    </row>
    <row r="166" spans="1:4">
      <c r="A166" s="15" t="str">
        <f>'Validation List'!O7</f>
        <v>No</v>
      </c>
      <c r="B166" s="16">
        <f>COUNTIFS(Table2[Your gender. Are you?],Condition_1,Table2[Did the healthcare professional introduce themselves to you?],A166)</f>
        <v>0</v>
      </c>
      <c r="C166" s="17" t="e">
        <f t="shared" si="24"/>
        <v>#DIV/0!</v>
      </c>
      <c r="D166" s="17" t="e">
        <f>B166/(No_who_answered_survey-COUNTIFS(Table2[Your gender. Are you?],Condition_1,Table2[Did the healthcare professional introduce themselves to you?],"Not answered"))*100</f>
        <v>#DIV/0!</v>
      </c>
    </row>
    <row r="167" spans="1:4">
      <c r="A167" s="15" t="str">
        <f>'Validation List'!O8</f>
        <v>Already known to me</v>
      </c>
      <c r="B167" s="16">
        <f>COUNTIFS(Table2[Your gender. Are you?],Condition_1,Table2[Did the healthcare professional introduce themselves to you?],A167)</f>
        <v>0</v>
      </c>
      <c r="C167" s="17" t="e">
        <f t="shared" si="24"/>
        <v>#DIV/0!</v>
      </c>
      <c r="D167" s="17" t="e">
        <f>B167/(No_who_answered_survey-COUNTIFS(Table2[Your gender. Are you?],Condition_1,Table2[Did the healthcare professional introduce themselves to you?],"Not answered"))*100</f>
        <v>#DIV/0!</v>
      </c>
    </row>
    <row r="168" spans="1:4">
      <c r="A168" s="15" t="str">
        <f>'Validation List'!O15</f>
        <v>Not answered</v>
      </c>
      <c r="B168" s="16">
        <f>COUNTIFS(Table2[Your gender. Are you?],Condition_1,Table2[Did the healthcare professional introduce themselves to you?],A168)</f>
        <v>0</v>
      </c>
      <c r="C168" s="17" t="e">
        <f t="shared" si="24"/>
        <v>#DIV/0!</v>
      </c>
      <c r="D168" s="17"/>
    </row>
    <row r="169" spans="1:4">
      <c r="A169" s="15" t="s">
        <v>39</v>
      </c>
      <c r="B169" s="16">
        <f>SUM(B165:B168)</f>
        <v>0</v>
      </c>
      <c r="C169" s="17" t="e">
        <f>SUM(C165:C168)</f>
        <v>#DIV/0!</v>
      </c>
      <c r="D169" s="17" t="e">
        <f>SUM(D165:D168)</f>
        <v>#DIV/0!</v>
      </c>
    </row>
    <row r="170" spans="1:4">
      <c r="A170" s="18"/>
      <c r="B170" s="13"/>
      <c r="C170" s="22"/>
      <c r="D170" s="22"/>
    </row>
    <row r="171" spans="1:4">
      <c r="A171" s="18"/>
      <c r="B171" s="13"/>
      <c r="C171" s="22"/>
      <c r="D171" s="22"/>
    </row>
    <row r="172" spans="1:4" ht="27" customHeight="1">
      <c r="A172" s="50" t="str">
        <f>'Validation List'!P3</f>
        <v>Patient felt treated with kindness and respect during visit</v>
      </c>
      <c r="B172" s="50"/>
      <c r="C172" s="50"/>
      <c r="D172" s="51"/>
    </row>
    <row r="173" spans="1:4">
      <c r="A173" s="15"/>
      <c r="B173" s="16" t="s">
        <v>37</v>
      </c>
      <c r="C173" s="17" t="s">
        <v>38</v>
      </c>
      <c r="D173" s="17" t="s">
        <v>42</v>
      </c>
    </row>
    <row r="174" spans="1:4">
      <c r="A174" s="15" t="str">
        <f>'Validation List'!P6</f>
        <v>Yes</v>
      </c>
      <c r="B174" s="16">
        <f>COUNTIFS(Table2[Your gender. Are you?],Condition_1,Table2[Were you treated with kindness and respect during your visit?],A174)</f>
        <v>0</v>
      </c>
      <c r="C174" s="17" t="e">
        <f t="shared" ref="C174:C176" si="25">B174/No_who_answered_survey*100</f>
        <v>#DIV/0!</v>
      </c>
      <c r="D174" s="17" t="e">
        <f>B174/(No_who_answered_survey-COUNTIFS(Table2[Your gender. Are you?],Condition_1,Table2[Were you treated with kindness and respect during your visit?],"Not answered"))*100</f>
        <v>#DIV/0!</v>
      </c>
    </row>
    <row r="175" spans="1:4">
      <c r="A175" s="15" t="str">
        <f>'Validation List'!P7</f>
        <v>No</v>
      </c>
      <c r="B175" s="16">
        <f>COUNTIFS(Table2[Your gender. Are you?],Condition_1,Table2[Were you treated with kindness and respect during your visit?],A175)</f>
        <v>0</v>
      </c>
      <c r="C175" s="17" t="e">
        <f t="shared" si="25"/>
        <v>#DIV/0!</v>
      </c>
      <c r="D175" s="17" t="e">
        <f>B175/(No_who_answered_survey-COUNTIFS(Table2[Your gender. Are you?],Condition_1,Table2[Were you treated with kindness and respect during your visit?],"Not answered"))*100</f>
        <v>#DIV/0!</v>
      </c>
    </row>
    <row r="176" spans="1:4">
      <c r="A176" s="15" t="str">
        <f>'Validation List'!P15</f>
        <v>Not answered</v>
      </c>
      <c r="B176" s="16">
        <f>COUNTIFS(Table2[Your gender. Are you?],Condition_1,Table2[Were you treated with kindness and respect during your visit?],A176)</f>
        <v>0</v>
      </c>
      <c r="C176" s="17" t="e">
        <f t="shared" si="25"/>
        <v>#DIV/0!</v>
      </c>
      <c r="D176" s="17"/>
    </row>
    <row r="177" spans="1:4">
      <c r="A177" s="15" t="s">
        <v>39</v>
      </c>
      <c r="B177" s="16">
        <f>SUM(B174:B176)</f>
        <v>0</v>
      </c>
      <c r="C177" s="17" t="e">
        <f>SUM(C174:C176)</f>
        <v>#DIV/0!</v>
      </c>
      <c r="D177" s="17" t="e">
        <f>SUM(D174:D176)</f>
        <v>#DIV/0!</v>
      </c>
    </row>
    <row r="178" spans="1:4">
      <c r="A178" s="18"/>
      <c r="B178" s="13"/>
      <c r="C178" s="22"/>
      <c r="D178" s="22"/>
    </row>
    <row r="179" spans="1:4">
      <c r="A179" s="18"/>
      <c r="B179" s="13"/>
      <c r="C179" s="22"/>
      <c r="D179" s="22"/>
    </row>
    <row r="180" spans="1:4" ht="20.25" customHeight="1">
      <c r="A180" s="47" t="str">
        <f>'Validation List'!Q3</f>
        <v>Satisfaction with the level of privacy provided during appointment</v>
      </c>
      <c r="B180" s="48"/>
      <c r="C180" s="48"/>
      <c r="D180" s="49"/>
    </row>
    <row r="181" spans="1:4">
      <c r="A181" s="15"/>
      <c r="B181" s="16" t="s">
        <v>37</v>
      </c>
      <c r="C181" s="17" t="s">
        <v>38</v>
      </c>
      <c r="D181" s="17" t="s">
        <v>42</v>
      </c>
    </row>
    <row r="182" spans="1:4">
      <c r="A182" s="15" t="str">
        <f>'Validation List'!Q6</f>
        <v>Yes</v>
      </c>
      <c r="B182" s="16">
        <f>COUNTIFS(Table2[Your gender. Are you?],Condition_1,Table2[Were you satisfied with the level of privacy provided to you during your appointment?],A182)</f>
        <v>0</v>
      </c>
      <c r="C182" s="17" t="e">
        <f t="shared" ref="C182:C184" si="26">B182/No_who_answered_survey*100</f>
        <v>#DIV/0!</v>
      </c>
      <c r="D182" s="17" t="e">
        <f>B182/(No_who_answered_survey-COUNTIFS(Table2[Your gender. Are you?],Condition_1,Table2[Were you satisfied with the level of privacy provided to you during your appointment?],"Not answered"))*100</f>
        <v>#DIV/0!</v>
      </c>
    </row>
    <row r="183" spans="1:4">
      <c r="A183" s="15" t="str">
        <f>'Validation List'!Q7</f>
        <v>No</v>
      </c>
      <c r="B183" s="16">
        <f>COUNTIFS(Table2[Your gender. Are you?],Condition_1,Table2[Were you satisfied with the level of privacy provided to you during your appointment?],A183)</f>
        <v>0</v>
      </c>
      <c r="C183" s="17" t="e">
        <f t="shared" si="26"/>
        <v>#DIV/0!</v>
      </c>
      <c r="D183" s="17" t="e">
        <f>B183/(No_who_answered_survey-COUNTIFS(Table2[Your gender. Are you?],Condition_1,Table2[Were you satisfied with the level of privacy provided to you during your appointment?],"Not answered"))*100</f>
        <v>#DIV/0!</v>
      </c>
    </row>
    <row r="184" spans="1:4">
      <c r="A184" s="15" t="str">
        <f>'Validation List'!Q15</f>
        <v>Not answered</v>
      </c>
      <c r="B184" s="16">
        <f>COUNTIFS(Table2[Your gender. Are you?],Condition_1,Table2[Were you satisfied with the level of privacy provided to you during your appointment?],A184)</f>
        <v>0</v>
      </c>
      <c r="C184" s="17" t="e">
        <f t="shared" si="26"/>
        <v>#DIV/0!</v>
      </c>
      <c r="D184" s="17"/>
    </row>
    <row r="185" spans="1:4">
      <c r="A185" s="15" t="s">
        <v>39</v>
      </c>
      <c r="B185" s="16">
        <f>SUM(B182:B184)</f>
        <v>0</v>
      </c>
      <c r="C185" s="17" t="e">
        <f>SUM(C182:C184)</f>
        <v>#DIV/0!</v>
      </c>
      <c r="D185" s="17" t="e">
        <f>SUM(D182:D184)</f>
        <v>#DIV/0!</v>
      </c>
    </row>
    <row r="186" spans="1:4">
      <c r="A186" s="18"/>
      <c r="B186" s="13"/>
      <c r="C186" s="22"/>
      <c r="D186" s="22"/>
    </row>
    <row r="187" spans="1:4">
      <c r="A187" s="18"/>
      <c r="B187" s="13"/>
      <c r="C187" s="22"/>
      <c r="D187" s="22"/>
    </row>
    <row r="188" spans="1:4">
      <c r="A188" s="50" t="str">
        <f>'Validation List'!R3</f>
        <v>It was explained that, if relevant to overall care, patients information may be shared with other PCT members
about you with other members of the Primary Care Team?</v>
      </c>
      <c r="B188" s="50"/>
      <c r="C188" s="50"/>
      <c r="D188" s="51"/>
    </row>
    <row r="189" spans="1:4">
      <c r="A189" s="15"/>
      <c r="B189" s="16" t="s">
        <v>37</v>
      </c>
      <c r="C189" s="17" t="s">
        <v>38</v>
      </c>
      <c r="D189" s="17" t="s">
        <v>42</v>
      </c>
    </row>
    <row r="190" spans="1:4">
      <c r="A190" s="15" t="str">
        <f>'Validation List'!R6</f>
        <v>Yes</v>
      </c>
      <c r="B190" s="16">
        <f>COUNTIFS(Table2[Your gender. Are you?],Condition_1,Table2[Was it explained to you that, if relevant to your overall care, we may need to share information
about you with other members of the Primary Care Team?],A190)</f>
        <v>0</v>
      </c>
      <c r="C190" s="17" t="e">
        <f t="shared" ref="C190:C193" si="27">B190/No_who_answered_survey*100</f>
        <v>#DIV/0!</v>
      </c>
      <c r="D190" s="17" t="e">
        <f>B190/(No_who_answered_survey-COUNTIFS(Table2[Your gender. Are you?],Condition_1,Table2[Was it explained to you that, if relevant to your overall care, we may need to share information
about you with other members of the Primary Care Team?],"Not answered"))*100</f>
        <v>#DIV/0!</v>
      </c>
    </row>
    <row r="191" spans="1:4">
      <c r="A191" s="15" t="str">
        <f>'Validation List'!R7</f>
        <v>No</v>
      </c>
      <c r="B191" s="16">
        <f>COUNTIFS(Table2[Your gender. Are you?],Condition_1,Table2[Was it explained to you that, if relevant to your overall care, we may need to share information
about you with other members of the Primary Care Team?],A191)</f>
        <v>0</v>
      </c>
      <c r="C191" s="17" t="e">
        <f t="shared" si="27"/>
        <v>#DIV/0!</v>
      </c>
      <c r="D191" s="17" t="e">
        <f>B191/(No_who_answered_survey-COUNTIFS(Table2[Your gender. Are you?],Condition_1,Table2[Was it explained to you that, if relevant to your overall care, we may need to share information
about you with other members of the Primary Care Team?],"Not answered"))*100</f>
        <v>#DIV/0!</v>
      </c>
    </row>
    <row r="192" spans="1:4">
      <c r="A192" s="15" t="str">
        <f>'Validation List'!R8</f>
        <v>Not sure</v>
      </c>
      <c r="B192" s="16">
        <f>COUNTIFS(Table2[Your gender. Are you?],Condition_1,Table2[Was it explained to you that, if relevant to your overall care, we may need to share information
about you with other members of the Primary Care Team?],A192)</f>
        <v>0</v>
      </c>
      <c r="C192" s="17" t="e">
        <f t="shared" si="27"/>
        <v>#DIV/0!</v>
      </c>
      <c r="D192" s="17" t="e">
        <f>B192/(No_who_answered_survey-COUNTIFS(Table2[Your gender. Are you?],Condition_1,Table2[Was it explained to you that, if relevant to your overall care, we may need to share information
about you with other members of the Primary Care Team?],"Not answered"))*100</f>
        <v>#DIV/0!</v>
      </c>
    </row>
    <row r="193" spans="1:4">
      <c r="A193" s="15" t="str">
        <f>'Validation List'!R15</f>
        <v>Not answered</v>
      </c>
      <c r="B193" s="16">
        <f>COUNTIFS(Table2[Your gender. Are you?],Condition_1,Table2[Was it explained to you that, if relevant to your overall care, we may need to share information
about you with other members of the Primary Care Team?],A193)</f>
        <v>0</v>
      </c>
      <c r="C193" s="17" t="e">
        <f t="shared" si="27"/>
        <v>#DIV/0!</v>
      </c>
      <c r="D193" s="17"/>
    </row>
    <row r="194" spans="1:4">
      <c r="A194" s="15" t="s">
        <v>39</v>
      </c>
      <c r="B194" s="16">
        <f>SUM(B190:B193)</f>
        <v>0</v>
      </c>
      <c r="C194" s="17" t="e">
        <f>SUM(C190:C193)</f>
        <v>#DIV/0!</v>
      </c>
      <c r="D194" s="17" t="e">
        <f>SUM(D190:D193)</f>
        <v>#DIV/0!</v>
      </c>
    </row>
    <row r="195" spans="1:4">
      <c r="A195" s="18"/>
      <c r="B195" s="13"/>
      <c r="C195" s="22"/>
      <c r="D195" s="22"/>
    </row>
    <row r="196" spans="1:4">
      <c r="A196" s="18"/>
      <c r="B196" s="13"/>
      <c r="C196" s="22"/>
      <c r="D196" s="22"/>
    </row>
    <row r="197" spans="1:4">
      <c r="A197" s="50" t="str">
        <f>'Validation List'!S3</f>
        <v>Advice and information provided during appointment was easy to understand</v>
      </c>
      <c r="B197" s="50"/>
      <c r="C197" s="50"/>
      <c r="D197" s="51"/>
    </row>
    <row r="198" spans="1:4">
      <c r="A198" s="15"/>
      <c r="B198" s="16" t="s">
        <v>37</v>
      </c>
      <c r="C198" s="17" t="s">
        <v>38</v>
      </c>
      <c r="D198" s="17" t="s">
        <v>42</v>
      </c>
    </row>
    <row r="199" spans="1:4">
      <c r="A199" s="15" t="str">
        <f>'Validation List'!S6</f>
        <v>Yes</v>
      </c>
      <c r="B199" s="16">
        <f>COUNTIFS(Table2[Your gender. Are you?],Condition_1,Table2[Was the advice and information provided by the healthcare professional during your
appointment today easy to understand?],A199)</f>
        <v>0</v>
      </c>
      <c r="C199" s="17" t="e">
        <f t="shared" ref="C199:C202" si="28">B199/No_who_answered_survey*100</f>
        <v>#DIV/0!</v>
      </c>
      <c r="D199" s="17" t="e">
        <f>B199/(No_who_answered_survey-COUNTIFS(Table2[Your gender. Are you?],Condition_1,Table2[Was the advice and information provided by the healthcare professional during your
appointment today easy to understand?],"Not answered")-COUNTIFS(Table2[Your gender. Are you?],Condition_1,Table2[Was the advice and information provided by the healthcare professional during your
appointment today easy to understand?],"Not Applicable"))*100</f>
        <v>#DIV/0!</v>
      </c>
    </row>
    <row r="200" spans="1:4">
      <c r="A200" s="15" t="str">
        <f>'Validation List'!S7</f>
        <v>No</v>
      </c>
      <c r="B200" s="16">
        <f>COUNTIFS(Table2[Your gender. Are you?],Condition_1,Table2[Was the advice and information provided by the healthcare professional during your
appointment today easy to understand?],A200)</f>
        <v>0</v>
      </c>
      <c r="C200" s="17" t="e">
        <f t="shared" si="28"/>
        <v>#DIV/0!</v>
      </c>
      <c r="D200" s="17" t="e">
        <f>B200/(No_who_answered_survey-COUNTIFS(Table2[Your gender. Are you?],Condition_1,Table2[Was the advice and information provided by the healthcare professional during your
appointment today easy to understand?],"Not answered")-COUNTIFS(Table2[Your gender. Are you?],Condition_1,Table2[Was the advice and information provided by the healthcare professional during your
appointment today easy to understand?],"Not Applicable"))*100</f>
        <v>#DIV/0!</v>
      </c>
    </row>
    <row r="201" spans="1:4">
      <c r="A201" s="15" t="str">
        <f>'Validation List'!S8</f>
        <v>Not Applicable</v>
      </c>
      <c r="B201" s="16">
        <f>COUNTIFS(Table2[Your gender. Are you?],Condition_1,Table2[Was the advice and information provided by the healthcare professional during your
appointment today easy to understand?],A201)</f>
        <v>0</v>
      </c>
      <c r="C201" s="17" t="e">
        <f t="shared" si="28"/>
        <v>#DIV/0!</v>
      </c>
      <c r="D201" s="17"/>
    </row>
    <row r="202" spans="1:4">
      <c r="A202" s="15" t="str">
        <f>'Validation List'!S15</f>
        <v>Not answered</v>
      </c>
      <c r="B202" s="16">
        <f>COUNTIFS(Table2[Your gender. Are you?],Condition_1,Table2[Was the advice and information provided by the healthcare professional during your
appointment today easy to understand?],A202)</f>
        <v>0</v>
      </c>
      <c r="C202" s="17" t="e">
        <f t="shared" si="28"/>
        <v>#DIV/0!</v>
      </c>
      <c r="D202" s="17"/>
    </row>
    <row r="203" spans="1:4">
      <c r="A203" s="15" t="s">
        <v>39</v>
      </c>
      <c r="B203" s="16">
        <f>SUM(B199:B202)</f>
        <v>0</v>
      </c>
      <c r="C203" s="17" t="e">
        <f>SUM(C199:C202)</f>
        <v>#DIV/0!</v>
      </c>
      <c r="D203" s="17" t="e">
        <f>SUM(D199:D202)</f>
        <v>#DIV/0!</v>
      </c>
    </row>
    <row r="204" spans="1:4">
      <c r="A204" s="18"/>
      <c r="B204" s="13"/>
      <c r="C204" s="22"/>
      <c r="D204" s="22"/>
    </row>
    <row r="205" spans="1:4">
      <c r="A205" s="18"/>
      <c r="B205" s="13"/>
      <c r="C205" s="22"/>
      <c r="D205" s="22"/>
    </row>
    <row r="206" spans="1:4">
      <c r="A206" s="47" t="str">
        <f>'Validation List'!T3</f>
        <v>Enough time provided during appointment to ask questions and discuss your health problems and concerns</v>
      </c>
      <c r="B206" s="48"/>
      <c r="C206" s="48"/>
      <c r="D206" s="49"/>
    </row>
    <row r="207" spans="1:4">
      <c r="A207" s="15"/>
      <c r="B207" s="16" t="s">
        <v>37</v>
      </c>
      <c r="C207" s="17" t="s">
        <v>38</v>
      </c>
      <c r="D207" s="17" t="s">
        <v>42</v>
      </c>
    </row>
    <row r="208" spans="1:4">
      <c r="A208" s="15" t="str">
        <f>'Validation List'!T6</f>
        <v>Yes</v>
      </c>
      <c r="B208" s="16">
        <f>COUNTIFS(Table2[Your gender. Are you?],Condition_1,Table2[Did you have enough time during your appointment to ask questions and discuss your health
problems and concerns?],A208)</f>
        <v>0</v>
      </c>
      <c r="C208" s="17" t="e">
        <f t="shared" ref="C208:C210" si="29">B208/No_who_answered_survey*100</f>
        <v>#DIV/0!</v>
      </c>
      <c r="D208" s="17" t="e">
        <f>B208/(No_who_answered_survey-COUNTIFS(Table2[Your gender. Are you?],Condition_1,Table2[Did you have enough time during your appointment to ask questions and discuss your health
problems and concerns?],"Not answered"))*100</f>
        <v>#DIV/0!</v>
      </c>
    </row>
    <row r="209" spans="1:4">
      <c r="A209" s="15" t="str">
        <f>'Validation List'!T7</f>
        <v>No</v>
      </c>
      <c r="B209" s="16">
        <f>COUNTIFS(Table2[Your gender. Are you?],Condition_1,Table2[Did you have enough time during your appointment to ask questions and discuss your health
problems and concerns?],A209)</f>
        <v>0</v>
      </c>
      <c r="C209" s="17" t="e">
        <f t="shared" si="29"/>
        <v>#DIV/0!</v>
      </c>
      <c r="D209" s="17" t="e">
        <f>B209/(No_who_answered_survey-COUNTIFS(Table2[Your gender. Are you?],Condition_1,Table2[Did you have enough time during your appointment to ask questions and discuss your health
problems and concerns?],"Not answered"))*100</f>
        <v>#DIV/0!</v>
      </c>
    </row>
    <row r="210" spans="1:4">
      <c r="A210" s="15" t="str">
        <f>'Validation List'!T15</f>
        <v>Not answered</v>
      </c>
      <c r="B210" s="16">
        <f>COUNTIFS(Table2[Your gender. Are you?],Condition_1,Table2[Did you have enough time during your appointment to ask questions and discuss your health
problems and concerns?],A210)</f>
        <v>0</v>
      </c>
      <c r="C210" s="17" t="e">
        <f t="shared" si="29"/>
        <v>#DIV/0!</v>
      </c>
      <c r="D210" s="17"/>
    </row>
    <row r="211" spans="1:4">
      <c r="A211" s="15" t="s">
        <v>39</v>
      </c>
      <c r="B211" s="16">
        <f>SUM(B208:B210)</f>
        <v>0</v>
      </c>
      <c r="C211" s="17" t="e">
        <f>SUM(C208:C210)</f>
        <v>#DIV/0!</v>
      </c>
      <c r="D211" s="17" t="e">
        <f>SUM(D208:D210)</f>
        <v>#DIV/0!</v>
      </c>
    </row>
    <row r="212" spans="1:4">
      <c r="A212" s="18"/>
      <c r="B212" s="13"/>
      <c r="C212" s="22"/>
      <c r="D212" s="22"/>
    </row>
    <row r="213" spans="1:4">
      <c r="A213" s="18"/>
      <c r="B213" s="13"/>
      <c r="C213" s="22"/>
      <c r="D213" s="22"/>
    </row>
    <row r="214" spans="1:4" ht="27" customHeight="1">
      <c r="A214" s="47" t="str">
        <f>'Validation List'!U3</f>
        <v>Were you involved in making decisions about your care and treatment?</v>
      </c>
      <c r="B214" s="48"/>
      <c r="C214" s="48"/>
      <c r="D214" s="49"/>
    </row>
    <row r="215" spans="1:4">
      <c r="A215" s="15"/>
      <c r="B215" s="16" t="s">
        <v>37</v>
      </c>
      <c r="C215" s="17" t="s">
        <v>38</v>
      </c>
      <c r="D215" s="17" t="s">
        <v>42</v>
      </c>
    </row>
    <row r="216" spans="1:4">
      <c r="A216" s="15" t="str">
        <f>'Validation List'!U6</f>
        <v>Yes</v>
      </c>
      <c r="B216" s="16">
        <f>COUNTIFS(Table2[Your gender. Are you?],Condition_1,Table2[Were you involved in making decisions about your care and treatment?],A216)</f>
        <v>0</v>
      </c>
      <c r="C216" s="17" t="e">
        <f t="shared" ref="C216:C218" si="30">B216/No_who_answered_survey*100</f>
        <v>#DIV/0!</v>
      </c>
      <c r="D216" s="17" t="e">
        <f>B216/(No_who_answered_survey-COUNTIFS(Table2[Your gender. Are you?],Condition_1,Table2[Were you involved in making decisions about your care and treatment?],"Not answered"))*100</f>
        <v>#DIV/0!</v>
      </c>
    </row>
    <row r="217" spans="1:4">
      <c r="A217" s="15" t="str">
        <f>'Validation List'!U7</f>
        <v>No</v>
      </c>
      <c r="B217" s="16">
        <f>COUNTIFS(Table2[Your gender. Are you?],Condition_1,Table2[Were you involved in making decisions about your care and treatment?],A217)</f>
        <v>0</v>
      </c>
      <c r="C217" s="17" t="e">
        <f t="shared" si="30"/>
        <v>#DIV/0!</v>
      </c>
      <c r="D217" s="17" t="e">
        <f>B217/(No_who_answered_survey-COUNTIFS(Table2[Your gender. Are you?],Condition_1,Table2[Were you involved in making decisions about your care and treatment?],"Not answered"))*100</f>
        <v>#DIV/0!</v>
      </c>
    </row>
    <row r="218" spans="1:4">
      <c r="A218" s="15" t="str">
        <f>'Validation List'!U15</f>
        <v>Not answered</v>
      </c>
      <c r="B218" s="16">
        <f>COUNTIFS(Table2[Your gender. Are you?],Condition_1,Table2[Were you involved in making decisions about your care and treatment?],A218)</f>
        <v>0</v>
      </c>
      <c r="C218" s="17" t="e">
        <f t="shared" si="30"/>
        <v>#DIV/0!</v>
      </c>
      <c r="D218" s="17"/>
    </row>
    <row r="219" spans="1:4">
      <c r="A219" s="15" t="s">
        <v>39</v>
      </c>
      <c r="B219" s="16">
        <f>SUM(B216:B218)</f>
        <v>0</v>
      </c>
      <c r="C219" s="17" t="e">
        <f>SUM(C216:C218)</f>
        <v>#DIV/0!</v>
      </c>
      <c r="D219" s="17" t="e">
        <f>SUM(D216:D218)</f>
        <v>#DIV/0!</v>
      </c>
    </row>
    <row r="220" spans="1:4">
      <c r="A220" s="18"/>
      <c r="B220" s="13"/>
      <c r="C220" s="22"/>
      <c r="D220" s="22"/>
    </row>
    <row r="221" spans="1:4">
      <c r="A221" s="18"/>
      <c r="B221" s="13"/>
      <c r="C221" s="22"/>
      <c r="D221" s="22"/>
    </row>
    <row r="222" spans="1:4">
      <c r="A222" s="47" t="str">
        <f>'Validation List'!V3</f>
        <v>Information or advice received on Quitting smoking during your visit</v>
      </c>
      <c r="B222" s="48"/>
      <c r="C222" s="48"/>
      <c r="D222" s="49"/>
    </row>
    <row r="223" spans="1:4">
      <c r="A223" s="15"/>
      <c r="B223" s="16" t="s">
        <v>37</v>
      </c>
      <c r="C223" s="17" t="s">
        <v>38</v>
      </c>
      <c r="D223" s="17" t="s">
        <v>42</v>
      </c>
    </row>
    <row r="224" spans="1:4">
      <c r="A224" s="15" t="str">
        <f>'Validation List'!V6</f>
        <v>Yes</v>
      </c>
      <c r="B224" s="16">
        <f>COUNTIFS(Table2[Your gender. Are you?],Condition_1,Table2[Did you receive information or advice on Quitting smoking during your visit today?],A224)</f>
        <v>0</v>
      </c>
      <c r="C224" s="17" t="e">
        <f t="shared" ref="C224:C227" si="31">B224/No_who_answered_survey*100</f>
        <v>#DIV/0!</v>
      </c>
      <c r="D224" s="17" t="e">
        <f>B224/(No_who_answered_survey-COUNTIFS(Table2[Your gender. Are you?],Condition_1,Table2[Did you receive information or advice on Quitting smoking during your visit today?],"Not answered")-COUNTIFS(Table2[Your gender. Are you?],Condition_1,Table2[Did you receive information or advice on Quitting smoking during your visit today?],"Not Applicable"))*100</f>
        <v>#DIV/0!</v>
      </c>
    </row>
    <row r="225" spans="1:4">
      <c r="A225" s="15" t="str">
        <f>'Validation List'!V7</f>
        <v>No</v>
      </c>
      <c r="B225" s="16">
        <f>COUNTIFS(Table2[Your gender. Are you?],Condition_1,Table2[Did you receive information or advice on Quitting smoking during your visit today?],A225)</f>
        <v>0</v>
      </c>
      <c r="C225" s="17" t="e">
        <f t="shared" si="31"/>
        <v>#DIV/0!</v>
      </c>
      <c r="D225" s="17" t="e">
        <f>B225/(No_who_answered_survey-COUNTIFS(Table2[Your gender. Are you?],Condition_1,Table2[Did you receive information or advice on Quitting smoking during your visit today?],"Not answered")-COUNTIFS(Table2[Your gender. Are you?],Condition_1,Table2[Did you receive information or advice on Quitting smoking during your visit today?],"Not Applicable"))*100</f>
        <v>#DIV/0!</v>
      </c>
    </row>
    <row r="226" spans="1:4">
      <c r="A226" s="15" t="str">
        <f>'Validation List'!V8</f>
        <v>Not Applicable</v>
      </c>
      <c r="B226" s="16">
        <f>COUNTIFS(Table2[Your gender. Are you?],Condition_1,Table2[Did you receive information or advice on Quitting smoking during your visit today?],A226)</f>
        <v>0</v>
      </c>
      <c r="C226" s="17" t="e">
        <f t="shared" si="31"/>
        <v>#DIV/0!</v>
      </c>
      <c r="D226" s="17"/>
    </row>
    <row r="227" spans="1:4">
      <c r="A227" s="15" t="str">
        <f>'Validation List'!V15</f>
        <v>Not answered</v>
      </c>
      <c r="B227" s="16">
        <f>COUNTIFS(Table2[Your gender. Are you?],Condition_1,Table2[Did you receive information or advice on Quitting smoking during your visit today?],A227)</f>
        <v>0</v>
      </c>
      <c r="C227" s="17" t="e">
        <f t="shared" si="31"/>
        <v>#DIV/0!</v>
      </c>
      <c r="D227" s="17"/>
    </row>
    <row r="228" spans="1:4">
      <c r="A228" s="15" t="s">
        <v>39</v>
      </c>
      <c r="B228" s="16">
        <f>SUM(B224:B227)</f>
        <v>0</v>
      </c>
      <c r="C228" s="17" t="e">
        <f>SUM(C224:C227)</f>
        <v>#DIV/0!</v>
      </c>
      <c r="D228" s="17" t="e">
        <f>SUM(D224:D227)</f>
        <v>#DIV/0!</v>
      </c>
    </row>
    <row r="229" spans="1:4">
      <c r="A229" s="18"/>
      <c r="B229" s="13"/>
      <c r="C229" s="22"/>
      <c r="D229" s="22"/>
    </row>
    <row r="230" spans="1:4">
      <c r="A230" s="18"/>
      <c r="B230" s="13"/>
      <c r="C230" s="22"/>
      <c r="D230" s="22"/>
    </row>
    <row r="231" spans="1:4">
      <c r="A231" s="50" t="str">
        <f>'Validation List'!W3</f>
        <v>Information or advice received  on Losing weight during your visit today</v>
      </c>
      <c r="B231" s="50"/>
      <c r="C231" s="50"/>
      <c r="D231" s="51"/>
    </row>
    <row r="232" spans="1:4">
      <c r="A232" s="15"/>
      <c r="B232" s="16" t="s">
        <v>37</v>
      </c>
      <c r="C232" s="17" t="s">
        <v>38</v>
      </c>
      <c r="D232" s="17" t="s">
        <v>42</v>
      </c>
    </row>
    <row r="233" spans="1:4">
      <c r="A233" s="15" t="str">
        <f>'Validation List'!W6</f>
        <v>Yes</v>
      </c>
      <c r="B233" s="16">
        <f>COUNTIFS(Table2[Your gender. Are you?],Condition_1,Table2[Did you receive information or advice on Losing weight during your visit today?],A233)</f>
        <v>0</v>
      </c>
      <c r="C233" s="17" t="e">
        <f t="shared" ref="C233:C236" si="32">B233/No_who_answered_survey*100</f>
        <v>#DIV/0!</v>
      </c>
      <c r="D233" s="17" t="e">
        <f>B233/(No_who_answered_survey-COUNTIFS(Table2[Your gender. Are you?],Condition_1,Table2[Did you receive information or advice on Losing weight during your visit today?],"Not answered")-COUNTIFS(Table2[Your gender. Are you?],Condition_1,Table2[Did you receive information or advice on Losing weight during your visit today?],"Not Applicable"))*100</f>
        <v>#DIV/0!</v>
      </c>
    </row>
    <row r="234" spans="1:4">
      <c r="A234" s="15" t="str">
        <f>'Validation List'!W7</f>
        <v>No</v>
      </c>
      <c r="B234" s="16">
        <f>COUNTIFS(Table2[Your gender. Are you?],Condition_1,Table2[Did you receive information or advice on Losing weight during your visit today?],A234)</f>
        <v>0</v>
      </c>
      <c r="C234" s="17" t="e">
        <f t="shared" si="32"/>
        <v>#DIV/0!</v>
      </c>
      <c r="D234" s="17" t="e">
        <f>B234/(No_who_answered_survey-COUNTIFS(Table2[Your gender. Are you?],Condition_1,Table2[Did you receive information or advice on Losing weight during your visit today?],"Not answered")-COUNTIFS(Table2[Your gender. Are you?],Condition_1,Table2[Did you receive information or advice on Losing weight during your visit today?],"Not Applicable"))*100</f>
        <v>#DIV/0!</v>
      </c>
    </row>
    <row r="235" spans="1:4">
      <c r="A235" s="15" t="str">
        <f>'Validation List'!W8</f>
        <v>Not Applicable</v>
      </c>
      <c r="B235" s="16">
        <f>COUNTIFS(Table2[Your gender. Are you?],Condition_1,Table2[Did you receive information or advice on Losing weight during your visit today?],A235)</f>
        <v>0</v>
      </c>
      <c r="C235" s="17" t="e">
        <f t="shared" si="32"/>
        <v>#DIV/0!</v>
      </c>
      <c r="D235" s="17"/>
    </row>
    <row r="236" spans="1:4">
      <c r="A236" s="15" t="str">
        <f>'Validation List'!W15</f>
        <v>Not answered</v>
      </c>
      <c r="B236" s="16">
        <f>COUNTIFS(Table2[Your gender. Are you?],Condition_1,Table2[Did you receive information or advice on Losing weight during your visit today?],A236)</f>
        <v>0</v>
      </c>
      <c r="C236" s="17" t="e">
        <f t="shared" si="32"/>
        <v>#DIV/0!</v>
      </c>
      <c r="D236" s="17"/>
    </row>
    <row r="237" spans="1:4">
      <c r="A237" s="15" t="s">
        <v>39</v>
      </c>
      <c r="B237" s="16">
        <f>SUM(B233:B236)</f>
        <v>0</v>
      </c>
      <c r="C237" s="17" t="e">
        <f>SUM(C233:C236)</f>
        <v>#DIV/0!</v>
      </c>
      <c r="D237" s="17" t="e">
        <f>SUM(D233:D236)</f>
        <v>#DIV/0!</v>
      </c>
    </row>
    <row r="238" spans="1:4">
      <c r="A238" s="18"/>
      <c r="B238" s="13"/>
      <c r="C238" s="22"/>
      <c r="D238" s="22"/>
    </row>
    <row r="239" spans="1:4">
      <c r="A239" s="18"/>
      <c r="B239" s="13"/>
      <c r="C239" s="22"/>
      <c r="D239" s="22"/>
    </row>
    <row r="240" spans="1:4">
      <c r="A240" s="50" t="str">
        <f>'Validation List'!X3</f>
        <v>Information or advice received  on Nutrition and healthy eating during your visit</v>
      </c>
      <c r="B240" s="50"/>
      <c r="C240" s="50"/>
      <c r="D240" s="51"/>
    </row>
    <row r="241" spans="1:4">
      <c r="A241" s="15"/>
      <c r="B241" s="16" t="s">
        <v>37</v>
      </c>
      <c r="C241" s="17" t="s">
        <v>38</v>
      </c>
      <c r="D241" s="17" t="s">
        <v>42</v>
      </c>
    </row>
    <row r="242" spans="1:4">
      <c r="A242" s="15" t="str">
        <f>'Validation List'!X6</f>
        <v>Yes</v>
      </c>
      <c r="B242" s="16">
        <f>COUNTIFS(Table2[Your gender. Are you?],Condition_1,Table2[Did you receive information or advice on Nutrition and healthy eating during your visit today?],A242)</f>
        <v>0</v>
      </c>
      <c r="C242" s="17" t="e">
        <f t="shared" ref="C242:C245" si="33">B242/No_who_answered_survey*100</f>
        <v>#DIV/0!</v>
      </c>
      <c r="D242" s="17" t="e">
        <f>B242/(No_who_answered_survey-COUNTIFS(Table2[Your gender. Are you?],Condition_1,Table2[Did you receive information or advice on Nutrition and healthy eating during your visit today?],"Not answered")-COUNTIFS(Table2[Your gender. Are you?],Condition_1,Table2[Did you receive information or advice on Nutrition and healthy eating during your visit today?],"Not Applicable"))*100</f>
        <v>#DIV/0!</v>
      </c>
    </row>
    <row r="243" spans="1:4">
      <c r="A243" s="15" t="str">
        <f>'Validation List'!X7</f>
        <v>No</v>
      </c>
      <c r="B243" s="16">
        <f>COUNTIFS(Table2[Your gender. Are you?],Condition_1,Table2[Did you receive information or advice on Nutrition and healthy eating during your visit today?],A243)</f>
        <v>0</v>
      </c>
      <c r="C243" s="17" t="e">
        <f t="shared" si="33"/>
        <v>#DIV/0!</v>
      </c>
      <c r="D243" s="17" t="e">
        <f>B243/(No_who_answered_survey-COUNTIFS(Table2[Your gender. Are you?],Condition_1,Table2[Did you receive information or advice on Nutrition and healthy eating during your visit today?],"Not answered")-COUNTIFS(Table2[Your gender. Are you?],Condition_1,Table2[Did you receive information or advice on Nutrition and healthy eating during your visit today?],"Not Applicable"))*100</f>
        <v>#DIV/0!</v>
      </c>
    </row>
    <row r="244" spans="1:4">
      <c r="A244" s="15" t="str">
        <f>'Validation List'!X8</f>
        <v>Not Applicable</v>
      </c>
      <c r="B244" s="16">
        <f>COUNTIFS(Table2[Your gender. Are you?],Condition_1,Table2[Did you receive information or advice on Nutrition and healthy eating during your visit today?],A244)</f>
        <v>0</v>
      </c>
      <c r="C244" s="17" t="e">
        <f t="shared" si="33"/>
        <v>#DIV/0!</v>
      </c>
      <c r="D244" s="17"/>
    </row>
    <row r="245" spans="1:4">
      <c r="A245" s="15" t="str">
        <f>'Validation List'!X15</f>
        <v>Not answered</v>
      </c>
      <c r="B245" s="16">
        <f>COUNTIFS(Table2[Your gender. Are you?],Condition_1,Table2[Did you receive information or advice on Nutrition and healthy eating during your visit today?],A245)</f>
        <v>0</v>
      </c>
      <c r="C245" s="17" t="e">
        <f t="shared" si="33"/>
        <v>#DIV/0!</v>
      </c>
      <c r="D245" s="17"/>
    </row>
    <row r="246" spans="1:4">
      <c r="A246" s="15" t="s">
        <v>39</v>
      </c>
      <c r="B246" s="16">
        <f>SUM(B242:B245)</f>
        <v>0</v>
      </c>
      <c r="C246" s="17" t="e">
        <f>SUM(C242:C245)</f>
        <v>#DIV/0!</v>
      </c>
      <c r="D246" s="17" t="e">
        <f>SUM(D242:D245)</f>
        <v>#DIV/0!</v>
      </c>
    </row>
    <row r="247" spans="1:4">
      <c r="A247" s="18"/>
      <c r="B247" s="13"/>
      <c r="C247" s="22"/>
      <c r="D247" s="22"/>
    </row>
    <row r="248" spans="1:4">
      <c r="A248" s="18"/>
      <c r="B248" s="13"/>
      <c r="C248" s="22"/>
      <c r="D248" s="22"/>
    </row>
    <row r="249" spans="1:4">
      <c r="A249" s="50" t="str">
        <f>'Validation List'!Y3</f>
        <v>Information or advice received on Physical activity during your visit today</v>
      </c>
      <c r="B249" s="50"/>
      <c r="C249" s="50"/>
      <c r="D249" s="51"/>
    </row>
    <row r="250" spans="1:4">
      <c r="A250" s="15"/>
      <c r="B250" s="16" t="s">
        <v>37</v>
      </c>
      <c r="C250" s="17" t="s">
        <v>38</v>
      </c>
      <c r="D250" s="17" t="s">
        <v>42</v>
      </c>
    </row>
    <row r="251" spans="1:4">
      <c r="A251" s="15" t="str">
        <f>'Validation List'!Y6</f>
        <v>Yes</v>
      </c>
      <c r="B251" s="16">
        <f>COUNTIFS(Table2[Your gender. Are you?],Condition_1,Table2[Did you receive information or advice on Physical activity during your visit today?],A251)</f>
        <v>0</v>
      </c>
      <c r="C251" s="17" t="e">
        <f t="shared" ref="C251:C254" si="34">B251/No_who_answered_survey*100</f>
        <v>#DIV/0!</v>
      </c>
      <c r="D251" s="17" t="e">
        <f>B251/(No_who_answered_survey-COUNTIFS(Table2[Your gender. Are you?],Condition_1,Table2[Did you receive information or advice on Physical activity during your visit today?],"Not answered")-COUNTIFS(Table2[Your gender. Are you?],Condition_1,Table2[Did you receive information or advice on Physical activity during your visit today?],"Not Applicable"))*100</f>
        <v>#DIV/0!</v>
      </c>
    </row>
    <row r="252" spans="1:4">
      <c r="A252" s="15" t="str">
        <f>'Validation List'!Y7</f>
        <v>No</v>
      </c>
      <c r="B252" s="16">
        <f>COUNTIFS(Table2[Your gender. Are you?],Condition_1,Table2[Did you receive information or advice on Physical activity during your visit today?],A252)</f>
        <v>0</v>
      </c>
      <c r="C252" s="17" t="e">
        <f t="shared" si="34"/>
        <v>#DIV/0!</v>
      </c>
      <c r="D252" s="17" t="e">
        <f>B252/(No_who_answered_survey-COUNTIFS(Table2[Your gender. Are you?],Condition_1,Table2[Did you receive information or advice on Physical activity during your visit today?],"Not answered")-COUNTIFS(Table2[Your gender. Are you?],Condition_1,Table2[Did you receive information or advice on Physical activity during your visit today?],"Not Applicable"))*100</f>
        <v>#DIV/0!</v>
      </c>
    </row>
    <row r="253" spans="1:4">
      <c r="A253" s="15" t="str">
        <f>'Validation List'!Y8</f>
        <v>Not Applicable</v>
      </c>
      <c r="B253" s="16">
        <f>COUNTIFS(Table2[Your gender. Are you?],Condition_1,Table2[Did you receive information or advice on Physical activity during your visit today?],A253)</f>
        <v>0</v>
      </c>
      <c r="C253" s="17" t="e">
        <f t="shared" si="34"/>
        <v>#DIV/0!</v>
      </c>
      <c r="D253" s="17"/>
    </row>
    <row r="254" spans="1:4">
      <c r="A254" s="15" t="str">
        <f>'Validation List'!Y15</f>
        <v>Not answered</v>
      </c>
      <c r="B254" s="16">
        <f>COUNTIFS(Table2[Your gender. Are you?],Condition_1,Table2[Did you receive information or advice on Physical activity during your visit today?],A254)</f>
        <v>0</v>
      </c>
      <c r="C254" s="17" t="e">
        <f t="shared" si="34"/>
        <v>#DIV/0!</v>
      </c>
      <c r="D254" s="17"/>
    </row>
    <row r="255" spans="1:4">
      <c r="A255" s="15" t="s">
        <v>39</v>
      </c>
      <c r="B255" s="16">
        <f>SUM(B251:B254)</f>
        <v>0</v>
      </c>
      <c r="C255" s="17" t="e">
        <f>SUM(C251:C254)</f>
        <v>#DIV/0!</v>
      </c>
      <c r="D255" s="17" t="e">
        <f>SUM(D251:D254)</f>
        <v>#DIV/0!</v>
      </c>
    </row>
    <row r="256" spans="1:4">
      <c r="A256" s="18"/>
      <c r="B256" s="13"/>
      <c r="C256" s="22"/>
      <c r="D256" s="22"/>
    </row>
    <row r="257" spans="1:4">
      <c r="A257" s="18"/>
      <c r="B257" s="13"/>
      <c r="C257" s="22"/>
      <c r="D257" s="22"/>
    </row>
    <row r="258" spans="1:4">
      <c r="A258" s="50" t="str">
        <f>'Validation List'!Z3</f>
        <v xml:space="preserve">Information or advice received on Alcohol use during your visit </v>
      </c>
      <c r="B258" s="50"/>
      <c r="C258" s="50"/>
      <c r="D258" s="51"/>
    </row>
    <row r="259" spans="1:4">
      <c r="A259" s="15"/>
      <c r="B259" s="16" t="s">
        <v>37</v>
      </c>
      <c r="C259" s="17" t="s">
        <v>38</v>
      </c>
      <c r="D259" s="17" t="s">
        <v>42</v>
      </c>
    </row>
    <row r="260" spans="1:4">
      <c r="A260" s="15" t="str">
        <f>'Validation List'!Z6</f>
        <v>Yes</v>
      </c>
      <c r="B260" s="16">
        <f>COUNTIFS(Table2[Your gender. Are you?],Condition_1,Table2[Did you receive information or advice on Alcohol use during your visit today?],A260)</f>
        <v>0</v>
      </c>
      <c r="C260" s="17" t="e">
        <f t="shared" ref="C260:C263" si="35">B260/No_who_answered_survey*100</f>
        <v>#DIV/0!</v>
      </c>
      <c r="D260" s="17" t="e">
        <f>B260/(No_who_answered_survey-COUNTIFS(Table2[Your gender. Are you?],Condition_1,Table2[Did you receive information or advice on Alcohol use during your visit today?],"Not answered")-COUNTIFS(Table2[Your gender. Are you?],Condition_1,Table2[Did you receive information or advice on Alcohol use during your visit today?],"Not Applicable"))*100</f>
        <v>#DIV/0!</v>
      </c>
    </row>
    <row r="261" spans="1:4">
      <c r="A261" s="15" t="str">
        <f>'Validation List'!Z7</f>
        <v>No</v>
      </c>
      <c r="B261" s="16">
        <f>COUNTIFS(Table2[Your gender. Are you?],Condition_1,Table2[Did you receive information or advice on Alcohol use during your visit today?],A261)</f>
        <v>0</v>
      </c>
      <c r="C261" s="17" t="e">
        <f t="shared" si="35"/>
        <v>#DIV/0!</v>
      </c>
      <c r="D261" s="17" t="e">
        <f>B261/(No_who_answered_survey-COUNTIFS(Table2[Your gender. Are you?],Condition_1,Table2[Did you receive information or advice on Alcohol use during your visit today?],"Not answered")-COUNTIFS(Table2[Your gender. Are you?],Condition_1,Table2[Did you receive information or advice on Alcohol use during your visit today?],"Not Applicable"))*100</f>
        <v>#DIV/0!</v>
      </c>
    </row>
    <row r="262" spans="1:4">
      <c r="A262" s="15" t="str">
        <f>'Validation List'!Z8</f>
        <v>Not Applicable</v>
      </c>
      <c r="B262" s="16">
        <f>COUNTIFS(Table2[Your gender. Are you?],Condition_1,Table2[Did you receive information or advice on Alcohol use during your visit today?],A262)</f>
        <v>0</v>
      </c>
      <c r="C262" s="17" t="e">
        <f t="shared" si="35"/>
        <v>#DIV/0!</v>
      </c>
      <c r="D262" s="17"/>
    </row>
    <row r="263" spans="1:4">
      <c r="A263" s="15" t="str">
        <f>'Validation List'!Z15</f>
        <v>Not answered</v>
      </c>
      <c r="B263" s="16">
        <f>COUNTIFS(Table2[Your gender. Are you?],Condition_1,Table2[Did you receive information or advice on Alcohol use during your visit today?],A263)</f>
        <v>0</v>
      </c>
      <c r="C263" s="17" t="e">
        <f t="shared" si="35"/>
        <v>#DIV/0!</v>
      </c>
      <c r="D263" s="17"/>
    </row>
    <row r="264" spans="1:4">
      <c r="A264" s="15" t="s">
        <v>39</v>
      </c>
      <c r="B264" s="16">
        <f>SUM(B260:B263)</f>
        <v>0</v>
      </c>
      <c r="C264" s="17" t="e">
        <f>SUM(C260:C263)</f>
        <v>#DIV/0!</v>
      </c>
      <c r="D264" s="17" t="e">
        <f>SUM(D260:D263)</f>
        <v>#DIV/0!</v>
      </c>
    </row>
    <row r="265" spans="1:4">
      <c r="A265" s="18"/>
      <c r="B265" s="13"/>
      <c r="C265" s="22"/>
      <c r="D265" s="22"/>
    </row>
    <row r="266" spans="1:4">
      <c r="A266" s="18"/>
      <c r="B266" s="13"/>
      <c r="C266" s="22"/>
      <c r="D266" s="22"/>
    </row>
    <row r="267" spans="1:4" ht="30" customHeight="1">
      <c r="A267" s="47" t="str">
        <f>'Validation List'!AA3</f>
        <v>Information or advice received Mental health and wellbeing during your visit</v>
      </c>
      <c r="B267" s="48"/>
      <c r="C267" s="48"/>
      <c r="D267" s="49"/>
    </row>
    <row r="268" spans="1:4">
      <c r="A268" s="15"/>
      <c r="B268" s="16" t="s">
        <v>37</v>
      </c>
      <c r="C268" s="17" t="s">
        <v>38</v>
      </c>
      <c r="D268" s="17" t="s">
        <v>42</v>
      </c>
    </row>
    <row r="269" spans="1:4">
      <c r="A269" s="15" t="str">
        <f>'Validation List'!AA6</f>
        <v>Yes</v>
      </c>
      <c r="B269" s="16">
        <f>COUNTIFS(Table2[Your gender. Are you?],Condition_1,Table2[Did you receive information or advice on Mental health and wellbeing during your visit today?],A269)</f>
        <v>0</v>
      </c>
      <c r="C269" s="17" t="e">
        <f t="shared" ref="C269:C272" si="36">B269/No_who_answered_survey*100</f>
        <v>#DIV/0!</v>
      </c>
      <c r="D269" s="17" t="e">
        <f>B269/(No_who_answered_survey-COUNTIFS(Table2[Your gender. Are you?],Condition_1,Table2[Did you receive information or advice on Mental health and wellbeing during your visit today?],"Not answered")-COUNTIFS(Table2[Your gender. Are you?],Condition_1,Table2[Did you receive information or advice on Mental health and wellbeing during your visit today?],"Not Applicable"))*100</f>
        <v>#DIV/0!</v>
      </c>
    </row>
    <row r="270" spans="1:4">
      <c r="A270" s="15" t="str">
        <f>'Validation List'!AA7</f>
        <v>No</v>
      </c>
      <c r="B270" s="16">
        <f>COUNTIFS(Table2[Your gender. Are you?],Condition_1,Table2[Did you receive information or advice on Mental health and wellbeing during your visit today?],A270)</f>
        <v>0</v>
      </c>
      <c r="C270" s="17" t="e">
        <f t="shared" si="36"/>
        <v>#DIV/0!</v>
      </c>
      <c r="D270" s="17" t="e">
        <f>B270/(No_who_answered_survey-COUNTIFS(Table2[Your gender. Are you?],Condition_1,Table2[Did you receive information or advice on Mental health and wellbeing during your visit today?],"Not answered")-COUNTIFS(Table2[Your gender. Are you?],Condition_1,Table2[Did you receive information or advice on Mental health and wellbeing during your visit today?],"Not Applicable"))*100</f>
        <v>#DIV/0!</v>
      </c>
    </row>
    <row r="271" spans="1:4">
      <c r="A271" s="15" t="str">
        <f>'Validation List'!AA8</f>
        <v>Not Applicable</v>
      </c>
      <c r="B271" s="16">
        <f>COUNTIFS(Table2[Your gender. Are you?],Condition_1,Table2[Did you receive information or advice on Mental health and wellbeing during your visit today?],A271)</f>
        <v>0</v>
      </c>
      <c r="C271" s="17" t="e">
        <f t="shared" si="36"/>
        <v>#DIV/0!</v>
      </c>
      <c r="D271" s="17"/>
    </row>
    <row r="272" spans="1:4">
      <c r="A272" s="15" t="str">
        <f>'Validation List'!AA15</f>
        <v>Not answered</v>
      </c>
      <c r="B272" s="16">
        <f>COUNTIFS(Table2[Your gender. Are you?],Condition_1,Table2[Did you receive information or advice on Mental health and wellbeing during your visit today?],A272)</f>
        <v>0</v>
      </c>
      <c r="C272" s="17" t="e">
        <f t="shared" si="36"/>
        <v>#DIV/0!</v>
      </c>
      <c r="D272" s="17"/>
    </row>
    <row r="273" spans="1:4">
      <c r="A273" s="15" t="s">
        <v>39</v>
      </c>
      <c r="B273" s="16">
        <f>SUM(B269:B272)</f>
        <v>0</v>
      </c>
      <c r="C273" s="17" t="e">
        <f>SUM(C269:C272)</f>
        <v>#DIV/0!</v>
      </c>
      <c r="D273" s="17" t="e">
        <f>SUM(D269:D272)</f>
        <v>#DIV/0!</v>
      </c>
    </row>
    <row r="274" spans="1:4">
      <c r="A274" s="18"/>
      <c r="B274" s="13"/>
      <c r="C274" s="22"/>
      <c r="D274" s="22"/>
    </row>
    <row r="275" spans="1:4">
      <c r="A275" s="18"/>
      <c r="B275" s="13"/>
      <c r="C275" s="22"/>
      <c r="D275" s="22"/>
    </row>
    <row r="276" spans="1:4" ht="27" customHeight="1">
      <c r="A276" s="47" t="str">
        <f>'Validation List'!AB3</f>
        <v>Information or advice received on Dementia during your visit</v>
      </c>
      <c r="B276" s="48"/>
      <c r="C276" s="48"/>
      <c r="D276" s="49"/>
    </row>
    <row r="277" spans="1:4">
      <c r="A277" s="15"/>
      <c r="B277" s="16" t="s">
        <v>37</v>
      </c>
      <c r="C277" s="17" t="s">
        <v>38</v>
      </c>
      <c r="D277" s="17" t="s">
        <v>42</v>
      </c>
    </row>
    <row r="278" spans="1:4">
      <c r="A278" s="15" t="str">
        <f>'Validation List'!AB6</f>
        <v>Yes</v>
      </c>
      <c r="B278" s="16">
        <f>COUNTIFS(Table2[Your gender. Are you?],Condition_1,Table2[Did you receive information or advice on Dementia during your visit today?],A278)</f>
        <v>0</v>
      </c>
      <c r="C278" s="17" t="e">
        <f t="shared" ref="C278:C281" si="37">B278/No_who_answered_survey*100</f>
        <v>#DIV/0!</v>
      </c>
      <c r="D278" s="17" t="e">
        <f>B278/(No_who_answered_survey-COUNTIFS(Table2[Your gender. Are you?],Condition_1,Table2[Did you receive information or advice on Dementia during your visit today?],"Not answered")-COUNTIFS(Table2[Your gender. Are you?],Condition_1,Table2[Did you receive information or advice on Dementia during your visit today?],"Not Applicable"))*100</f>
        <v>#DIV/0!</v>
      </c>
    </row>
    <row r="279" spans="1:4">
      <c r="A279" s="15" t="str">
        <f>'Validation List'!AB7</f>
        <v>No</v>
      </c>
      <c r="B279" s="16">
        <f>COUNTIFS(Table2[Your gender. Are you?],Condition_1,Table2[Did you receive information or advice on Dementia during your visit today?],A279)</f>
        <v>0</v>
      </c>
      <c r="C279" s="17" t="e">
        <f t="shared" si="37"/>
        <v>#DIV/0!</v>
      </c>
      <c r="D279" s="17" t="e">
        <f>B279/(No_who_answered_survey-COUNTIFS(Table2[Your gender. Are you?],Condition_1,Table2[Did you receive information or advice on Dementia during your visit today?],"Not answered")-COUNTIFS(Table2[Your gender. Are you?],Condition_1,Table2[Did you receive information or advice on Dementia during your visit today?],"Not Applicable"))*100</f>
        <v>#DIV/0!</v>
      </c>
    </row>
    <row r="280" spans="1:4">
      <c r="A280" s="15" t="str">
        <f>'Validation List'!AB8</f>
        <v>Not Applicable</v>
      </c>
      <c r="B280" s="16">
        <f>COUNTIFS(Table2[Your gender. Are you?],Condition_1,Table2[Did you receive information or advice on Dementia during your visit today?],A280)</f>
        <v>0</v>
      </c>
      <c r="C280" s="17" t="e">
        <f t="shared" si="37"/>
        <v>#DIV/0!</v>
      </c>
      <c r="D280" s="17"/>
    </row>
    <row r="281" spans="1:4">
      <c r="A281" s="15" t="str">
        <f>'Validation List'!AB15</f>
        <v>Not answered</v>
      </c>
      <c r="B281" s="16">
        <f>COUNTIFS(Table2[Your gender. Are you?],Condition_1,Table2[Did you receive information or advice on Dementia during your visit today?],A281)</f>
        <v>0</v>
      </c>
      <c r="C281" s="17" t="e">
        <f t="shared" si="37"/>
        <v>#DIV/0!</v>
      </c>
      <c r="D281" s="17"/>
    </row>
    <row r="282" spans="1:4">
      <c r="A282" s="15" t="s">
        <v>39</v>
      </c>
      <c r="B282" s="16">
        <f>SUM(B278:B281)</f>
        <v>0</v>
      </c>
      <c r="C282" s="17" t="e">
        <f>SUM(C278:C281)</f>
        <v>#DIV/0!</v>
      </c>
      <c r="D282" s="17" t="e">
        <f>SUM(D278:D281)</f>
        <v>#DIV/0!</v>
      </c>
    </row>
    <row r="283" spans="1:4">
      <c r="A283" s="18"/>
      <c r="B283" s="13"/>
      <c r="C283" s="22"/>
      <c r="D283" s="22"/>
    </row>
    <row r="284" spans="1:4">
      <c r="A284" s="18"/>
      <c r="B284" s="13"/>
      <c r="C284" s="22"/>
      <c r="D284" s="22"/>
    </row>
    <row r="285" spans="1:4" ht="30" customHeight="1">
      <c r="A285" s="47" t="str">
        <f>'Validation List'!AC3</f>
        <v>Information or advice received on Falls prevention during your visit</v>
      </c>
      <c r="B285" s="48"/>
      <c r="C285" s="48"/>
      <c r="D285" s="49"/>
    </row>
    <row r="286" spans="1:4">
      <c r="A286" s="15"/>
      <c r="B286" s="16" t="s">
        <v>37</v>
      </c>
      <c r="C286" s="17" t="s">
        <v>38</v>
      </c>
      <c r="D286" s="17" t="s">
        <v>42</v>
      </c>
    </row>
    <row r="287" spans="1:4">
      <c r="A287" s="15" t="str">
        <f>'Validation List'!AC6</f>
        <v>Yes</v>
      </c>
      <c r="B287" s="16">
        <f>COUNTIFS(Table2[Your gender. Are you?],Condition_1,Table2[Did you receive information or advice on Falls prevention during your visit today?],A287)</f>
        <v>0</v>
      </c>
      <c r="C287" s="17" t="e">
        <f t="shared" ref="C287:C290" si="38">B287/No_who_answered_survey*100</f>
        <v>#DIV/0!</v>
      </c>
      <c r="D287" s="17" t="e">
        <f>B287/(No_who_answered_survey-COUNTIFS(Table2[Your gender. Are you?],Condition_1,Table2[Did you receive information or advice on Falls prevention during your visit today?],"Not answered")-COUNTIFS(Table2[Your gender. Are you?],Condition_1,Table2[Did you receive information or advice on Falls prevention during your visit today?],"Not Applicable"))*100</f>
        <v>#DIV/0!</v>
      </c>
    </row>
    <row r="288" spans="1:4">
      <c r="A288" s="15" t="str">
        <f>'Validation List'!AC7</f>
        <v>No</v>
      </c>
      <c r="B288" s="16">
        <f>COUNTIFS(Table2[Your gender. Are you?],Condition_1,Table2[Did you receive information or advice on Falls prevention during your visit today?],A288)</f>
        <v>0</v>
      </c>
      <c r="C288" s="17" t="e">
        <f t="shared" si="38"/>
        <v>#DIV/0!</v>
      </c>
      <c r="D288" s="17" t="e">
        <f>B288/(No_who_answered_survey-COUNTIFS(Table2[Your gender. Are you?],Condition_1,Table2[Did you receive information or advice on Falls prevention during your visit today?],"Not answered")-COUNTIFS(Table2[Your gender. Are you?],Condition_1,Table2[Did you receive information or advice on Falls prevention during your visit today?],"Not Applicable"))*100</f>
        <v>#DIV/0!</v>
      </c>
    </row>
    <row r="289" spans="1:4">
      <c r="A289" s="15" t="str">
        <f>'Validation List'!AC8</f>
        <v>Not Applicable</v>
      </c>
      <c r="B289" s="16">
        <f>COUNTIFS(Table2[Your gender. Are you?],Condition_1,Table2[Did you receive information or advice on Falls prevention during your visit today?],A289)</f>
        <v>0</v>
      </c>
      <c r="C289" s="17" t="e">
        <f t="shared" si="38"/>
        <v>#DIV/0!</v>
      </c>
      <c r="D289" s="17"/>
    </row>
    <row r="290" spans="1:4">
      <c r="A290" s="15" t="str">
        <f>'Validation List'!AC15</f>
        <v>Not answered</v>
      </c>
      <c r="B290" s="16">
        <f>COUNTIFS(Table2[Your gender. Are you?],Condition_1,Table2[Did you receive information or advice on Falls prevention during your visit today?],A290)</f>
        <v>0</v>
      </c>
      <c r="C290" s="17" t="e">
        <f t="shared" si="38"/>
        <v>#DIV/0!</v>
      </c>
      <c r="D290" s="17"/>
    </row>
    <row r="291" spans="1:4">
      <c r="A291" s="15" t="s">
        <v>39</v>
      </c>
      <c r="B291" s="16">
        <f>SUM(B287:B290)</f>
        <v>0</v>
      </c>
      <c r="C291" s="17" t="e">
        <f>SUM(C287:C290)</f>
        <v>#DIV/0!</v>
      </c>
      <c r="D291" s="17" t="e">
        <f>SUM(D287:D290)</f>
        <v>#DIV/0!</v>
      </c>
    </row>
    <row r="292" spans="1:4">
      <c r="A292" s="18"/>
      <c r="B292" s="13"/>
      <c r="C292" s="22"/>
      <c r="D292" s="22"/>
    </row>
    <row r="293" spans="1:4">
      <c r="A293" s="18"/>
      <c r="B293" s="13"/>
      <c r="C293" s="22"/>
      <c r="D293" s="22"/>
    </row>
    <row r="294" spans="1:4" ht="26.25" customHeight="1">
      <c r="A294" s="47" t="str">
        <f>'Validation List'!AD3</f>
        <v>Information or advice received on Drug use during your visit</v>
      </c>
      <c r="B294" s="48"/>
      <c r="C294" s="48"/>
      <c r="D294" s="49"/>
    </row>
    <row r="295" spans="1:4">
      <c r="A295" s="15"/>
      <c r="B295" s="16" t="s">
        <v>37</v>
      </c>
      <c r="C295" s="17" t="s">
        <v>38</v>
      </c>
      <c r="D295" s="17" t="s">
        <v>42</v>
      </c>
    </row>
    <row r="296" spans="1:4">
      <c r="A296" s="15" t="str">
        <f>'Validation List'!AD6</f>
        <v>Yes</v>
      </c>
      <c r="B296" s="16">
        <f>COUNTIFS(Table2[Your gender. Are you?],Condition_1,Table2[Did you receive information or advice on Drug use during your visit today?],A296)</f>
        <v>0</v>
      </c>
      <c r="C296" s="17" t="e">
        <f t="shared" ref="C296:C299" si="39">B296/No_who_answered_survey*100</f>
        <v>#DIV/0!</v>
      </c>
      <c r="D296" s="17" t="e">
        <f>B296/(No_who_answered_survey-COUNTIFS(Table2[Your gender. Are you?],Condition_1,Table2[Did you receive information or advice on Drug use during your visit today?],"Not answered")-COUNTIFS(Table2[Your gender. Are you?],Condition_1,Table2[Did you receive information or advice on Drug use during your visit today?],"Not Applicable"))*100</f>
        <v>#DIV/0!</v>
      </c>
    </row>
    <row r="297" spans="1:4">
      <c r="A297" s="15" t="str">
        <f>'Validation List'!AD7</f>
        <v>No</v>
      </c>
      <c r="B297" s="16">
        <f>COUNTIFS(Table2[Your gender. Are you?],Condition_1,Table2[Did you receive information or advice on Drug use during your visit today?],A297)</f>
        <v>0</v>
      </c>
      <c r="C297" s="17" t="e">
        <f t="shared" si="39"/>
        <v>#DIV/0!</v>
      </c>
      <c r="D297" s="17" t="e">
        <f>B297/(No_who_answered_survey-COUNTIFS(Table2[Your gender. Are you?],Condition_1,Table2[Did you receive information or advice on Drug use during your visit today?],"Not answered")-COUNTIFS(Table2[Your gender. Are you?],Condition_1,Table2[Did you receive information or advice on Drug use during your visit today?],"Not Applicable"))*100</f>
        <v>#DIV/0!</v>
      </c>
    </row>
    <row r="298" spans="1:4">
      <c r="A298" s="15" t="str">
        <f>'Validation List'!AD8</f>
        <v>Not Applicable</v>
      </c>
      <c r="B298" s="16">
        <f>COUNTIFS(Table2[Your gender. Are you?],Condition_1,Table2[Did you receive information or advice on Drug use during your visit today?],A298)</f>
        <v>0</v>
      </c>
      <c r="C298" s="17" t="e">
        <f t="shared" si="39"/>
        <v>#DIV/0!</v>
      </c>
      <c r="D298" s="17"/>
    </row>
    <row r="299" spans="1:4">
      <c r="A299" s="15" t="str">
        <f>'Validation List'!AD15</f>
        <v>Not answered</v>
      </c>
      <c r="B299" s="16">
        <f>COUNTIFS(Table2[Your gender. Are you?],Condition_1,Table2[Did you receive information or advice on Drug use during your visit today?],A299)</f>
        <v>0</v>
      </c>
      <c r="C299" s="17" t="e">
        <f t="shared" si="39"/>
        <v>#DIV/0!</v>
      </c>
      <c r="D299" s="17"/>
    </row>
    <row r="300" spans="1:4">
      <c r="A300" s="15" t="s">
        <v>39</v>
      </c>
      <c r="B300" s="16">
        <f>SUM(B296:B299)</f>
        <v>0</v>
      </c>
      <c r="C300" s="17" t="e">
        <f>SUM(C296:C299)</f>
        <v>#DIV/0!</v>
      </c>
      <c r="D300" s="17" t="e">
        <f>SUM(D296:D299)</f>
        <v>#DIV/0!</v>
      </c>
    </row>
    <row r="301" spans="1:4">
      <c r="A301" s="18"/>
      <c r="B301" s="13"/>
      <c r="C301" s="22"/>
      <c r="D301" s="22"/>
    </row>
    <row r="302" spans="1:4">
      <c r="A302" s="18"/>
      <c r="B302" s="13"/>
      <c r="C302" s="22"/>
      <c r="D302" s="22"/>
    </row>
    <row r="303" spans="1:4" ht="28.5" customHeight="1">
      <c r="A303" s="47" t="str">
        <f>'Validation List'!AE3</f>
        <v>Information or advice received on Other issues during your visit today</v>
      </c>
      <c r="B303" s="48"/>
      <c r="C303" s="48"/>
      <c r="D303" s="49"/>
    </row>
    <row r="304" spans="1:4">
      <c r="A304" s="15"/>
      <c r="B304" s="16" t="s">
        <v>37</v>
      </c>
      <c r="C304" s="17" t="s">
        <v>38</v>
      </c>
      <c r="D304" s="17" t="s">
        <v>42</v>
      </c>
    </row>
    <row r="305" spans="1:4">
      <c r="A305" s="15" t="str">
        <f>'Validation List'!AE6</f>
        <v>Yes</v>
      </c>
      <c r="B305" s="16">
        <f>COUNTIFS(Table2[Your gender. Are you?],Condition_1,Table2[Did you receive other information or advice during your visit today?],A305)</f>
        <v>0</v>
      </c>
      <c r="C305" s="17" t="e">
        <f t="shared" ref="C305:C308" si="40">B305/No_who_answered_survey*100</f>
        <v>#DIV/0!</v>
      </c>
      <c r="D305" s="17" t="e">
        <f>B305/(No_who_answered_survey-COUNTIFS(Table2[Your gender. Are you?],Condition_1,Table2[Did you receive other information or advice during your visit today?],"Not answered")-COUNTIFS(Table2[Your gender. Are you?],Condition_1,Table2[Did you receive other information or advice during your visit today?],"Not Applicable"))*100</f>
        <v>#DIV/0!</v>
      </c>
    </row>
    <row r="306" spans="1:4">
      <c r="A306" s="15" t="str">
        <f>'Validation List'!AE7</f>
        <v>No</v>
      </c>
      <c r="B306" s="16">
        <f>COUNTIFS(Table2[Your gender. Are you?],Condition_1,Table2[Did you receive other information or advice during your visit today?],A306)</f>
        <v>0</v>
      </c>
      <c r="C306" s="17" t="e">
        <f t="shared" si="40"/>
        <v>#DIV/0!</v>
      </c>
      <c r="D306" s="17" t="e">
        <f>B306/(No_who_answered_survey-COUNTIFS(Table2[Your gender. Are you?],Condition_1,Table2[Did you receive other information or advice during your visit today?],"Not answered")-COUNTIFS(Table2[Your gender. Are you?],Condition_1,Table2[Did you receive other information or advice during your visit today?],"Not Applicable"))*100</f>
        <v>#DIV/0!</v>
      </c>
    </row>
    <row r="307" spans="1:4">
      <c r="A307" s="15" t="str">
        <f>'Validation List'!AE8</f>
        <v>Not Applicable</v>
      </c>
      <c r="B307" s="16">
        <f>COUNTIFS(Table2[Your gender. Are you?],Condition_1,Table2[Did you receive other information or advice during your visit today?],A307)</f>
        <v>0</v>
      </c>
      <c r="C307" s="17" t="e">
        <f t="shared" si="40"/>
        <v>#DIV/0!</v>
      </c>
      <c r="D307" s="17"/>
    </row>
    <row r="308" spans="1:4">
      <c r="A308" s="15" t="str">
        <f>'Validation List'!AE15</f>
        <v>Not answered</v>
      </c>
      <c r="B308" s="16">
        <f>COUNTIFS(Table2[Your gender. Are you?],Condition_1,Table2[Did you receive other information or advice during your visit today?],A308)</f>
        <v>0</v>
      </c>
      <c r="C308" s="17" t="e">
        <f t="shared" si="40"/>
        <v>#DIV/0!</v>
      </c>
      <c r="D308" s="17"/>
    </row>
    <row r="309" spans="1:4">
      <c r="A309" s="15" t="s">
        <v>39</v>
      </c>
      <c r="B309" s="16">
        <f>SUM(B305:B308)</f>
        <v>0</v>
      </c>
      <c r="C309" s="17" t="e">
        <f>SUM(C305:C308)</f>
        <v>#DIV/0!</v>
      </c>
      <c r="D309" s="17" t="e">
        <f>SUM(D305:D308)</f>
        <v>#DIV/0!</v>
      </c>
    </row>
    <row r="310" spans="1:4">
      <c r="A310" s="18"/>
      <c r="B310" s="13"/>
      <c r="C310" s="22"/>
      <c r="D310" s="22"/>
    </row>
    <row r="311" spans="1:4">
      <c r="A311" s="18"/>
      <c r="B311" s="13"/>
      <c r="C311" s="22"/>
      <c r="D311" s="22"/>
    </row>
    <row r="312" spans="1:4">
      <c r="A312" s="47" t="str">
        <f>'Validation List'!AF3</f>
        <v>Patient highlighted other areas for information or advice</v>
      </c>
      <c r="B312" s="48"/>
      <c r="C312" s="48"/>
      <c r="D312" s="49"/>
    </row>
    <row r="313" spans="1:4">
      <c r="A313" s="15"/>
      <c r="B313" s="16" t="s">
        <v>37</v>
      </c>
      <c r="C313" s="17" t="s">
        <v>38</v>
      </c>
      <c r="D313" s="17" t="s">
        <v>42</v>
      </c>
    </row>
    <row r="314" spans="1:4">
      <c r="A314" s="15" t="str">
        <f>'Validation List'!AF6</f>
        <v>Yes</v>
      </c>
      <c r="B314" s="16">
        <f>COUNTIFS(Table2[Your gender. Are you?],Condition_1,Table2[Are there other areas that you would appreciate information or advice on?],A314)</f>
        <v>0</v>
      </c>
      <c r="C314" s="17" t="e">
        <f t="shared" ref="C314:C316" si="41">B314/No_who_answered_survey*100</f>
        <v>#DIV/0!</v>
      </c>
      <c r="D314" s="17" t="e">
        <f>B314/(No_who_answered_survey-COUNTIFS(Table2[Your gender. Are you?],Condition_1,Table2[Are there other areas that you would appreciate information or advice on?],"Not answered"))*100</f>
        <v>#DIV/0!</v>
      </c>
    </row>
    <row r="315" spans="1:4">
      <c r="A315" s="15" t="str">
        <f>'Validation List'!AF7</f>
        <v>No</v>
      </c>
      <c r="B315" s="16">
        <f>COUNTIFS(Table2[Your gender. Are you?],Condition_1,Table2[Are there other areas that you would appreciate information or advice on?],A315)</f>
        <v>0</v>
      </c>
      <c r="C315" s="17" t="e">
        <f t="shared" si="41"/>
        <v>#DIV/0!</v>
      </c>
      <c r="D315" s="17" t="e">
        <f>B315/(No_who_answered_survey-COUNTIFS(Table2[Your gender. Are you?],Condition_1,Table2[Are there other areas that you would appreciate information or advice on?],"Not answered"))*100</f>
        <v>#DIV/0!</v>
      </c>
    </row>
    <row r="316" spans="1:4">
      <c r="A316" s="15" t="str">
        <f>'Validation List'!AF15</f>
        <v>Not answered</v>
      </c>
      <c r="B316" s="16">
        <f>COUNTIFS(Table2[Your gender. Are you?],Condition_1,Table2[Are there other areas that you would appreciate information or advice on?],A316)</f>
        <v>0</v>
      </c>
      <c r="C316" s="17" t="e">
        <f t="shared" si="41"/>
        <v>#DIV/0!</v>
      </c>
      <c r="D316" s="17"/>
    </row>
    <row r="317" spans="1:4">
      <c r="A317" s="15" t="s">
        <v>39</v>
      </c>
      <c r="B317" s="16">
        <f>SUM(B314:B316)</f>
        <v>0</v>
      </c>
      <c r="C317" s="17" t="e">
        <f>SUM(C314:C316)</f>
        <v>#DIV/0!</v>
      </c>
      <c r="D317" s="17" t="e">
        <f>SUM(D314:D316)</f>
        <v>#DIV/0!</v>
      </c>
    </row>
    <row r="318" spans="1:4">
      <c r="A318" s="18"/>
      <c r="B318" s="13"/>
      <c r="C318" s="22"/>
      <c r="D318" s="22"/>
    </row>
    <row r="319" spans="1:4">
      <c r="A319" s="18"/>
      <c r="B319" s="13"/>
      <c r="C319" s="22"/>
      <c r="D319" s="22"/>
    </row>
    <row r="320" spans="1:4" ht="27.75" customHeight="1">
      <c r="A320" s="47" t="str">
        <f>'Validation List'!AG3</f>
        <v>Overall patient rating of their appointment on day of survey</v>
      </c>
      <c r="B320" s="48"/>
      <c r="C320" s="48"/>
      <c r="D320" s="49"/>
    </row>
    <row r="321" spans="1:4">
      <c r="A321" s="15"/>
      <c r="B321" s="16" t="s">
        <v>37</v>
      </c>
      <c r="C321" s="17" t="s">
        <v>38</v>
      </c>
      <c r="D321" s="17" t="s">
        <v>42</v>
      </c>
    </row>
    <row r="322" spans="1:4">
      <c r="A322" s="15" t="str">
        <f>'Validation List'!AG6</f>
        <v>Excellent</v>
      </c>
      <c r="B322" s="16">
        <f>COUNTIFS(Table2[Your gender. Are you?],Condition_1,Table2[Overall, how would you rate your experience of your appointment today? Please circle one.],A322)</f>
        <v>0</v>
      </c>
      <c r="C322" s="17" t="e">
        <f t="shared" ref="C322:C327" si="42">B322/No_who_answered_survey*100</f>
        <v>#DIV/0!</v>
      </c>
      <c r="D322" s="17" t="e">
        <f>B322/(No_who_answered_survey-COUNTIFS(Table2[Your gender. Are you?],Condition_1,Table2[Overall, how would you rate your experience of your appointment today? Please circle one.],"Not answered"))*100</f>
        <v>#DIV/0!</v>
      </c>
    </row>
    <row r="323" spans="1:4">
      <c r="A323" s="15" t="str">
        <f>'Validation List'!AG7</f>
        <v>Very Good</v>
      </c>
      <c r="B323" s="16">
        <f>COUNTIFS(Table2[Your gender. Are you?],Condition_1,Table2[Overall, how would you rate your experience of your appointment today? Please circle one.],A323)</f>
        <v>0</v>
      </c>
      <c r="C323" s="17" t="e">
        <f t="shared" si="42"/>
        <v>#DIV/0!</v>
      </c>
      <c r="D323" s="17" t="e">
        <f>B323/(No_who_answered_survey-COUNTIFS(Table2[Your gender. Are you?],Condition_1,Table2[Overall, how would you rate your experience of your appointment today? Please circle one.],"Not answered"))*100</f>
        <v>#DIV/0!</v>
      </c>
    </row>
    <row r="324" spans="1:4">
      <c r="A324" s="15" t="str">
        <f>'Validation List'!AG8</f>
        <v>Good</v>
      </c>
      <c r="B324" s="16">
        <f>COUNTIFS(Table2[Your gender. Are you?],Condition_1,Table2[Overall, how would you rate your experience of your appointment today? Please circle one.],A324)</f>
        <v>0</v>
      </c>
      <c r="C324" s="17" t="e">
        <f t="shared" si="42"/>
        <v>#DIV/0!</v>
      </c>
      <c r="D324" s="17" t="e">
        <f>B324/(No_who_answered_survey-COUNTIFS(Table2[Your gender. Are you?],Condition_1,Table2[Overall, how would you rate your experience of your appointment today? Please circle one.],"Not answered"))*100</f>
        <v>#DIV/0!</v>
      </c>
    </row>
    <row r="325" spans="1:4">
      <c r="A325" s="15" t="str">
        <f>'Validation List'!AG9</f>
        <v xml:space="preserve">Poor </v>
      </c>
      <c r="B325" s="16">
        <f>COUNTIFS(Table2[Your gender. Are you?],Condition_1,Table2[Overall, how would you rate your experience of your appointment today? Please circle one.],A325)</f>
        <v>0</v>
      </c>
      <c r="C325" s="17" t="e">
        <f t="shared" si="42"/>
        <v>#DIV/0!</v>
      </c>
      <c r="D325" s="17" t="e">
        <f>B325/(No_who_answered_survey-COUNTIFS(Table2[Your gender. Are you?],Condition_1,Table2[Overall, how would you rate your experience of your appointment today? Please circle one.],"Not answered"))*100</f>
        <v>#DIV/0!</v>
      </c>
    </row>
    <row r="326" spans="1:4">
      <c r="A326" s="15" t="str">
        <f>'Validation List'!AG10</f>
        <v>Very Poor</v>
      </c>
      <c r="B326" s="16">
        <f>COUNTIFS(Table2[Your gender. Are you?],Condition_1,Table2[Overall, how would you rate your experience of your appointment today? Please circle one.],A326)</f>
        <v>0</v>
      </c>
      <c r="C326" s="17" t="e">
        <f t="shared" si="42"/>
        <v>#DIV/0!</v>
      </c>
      <c r="D326" s="17" t="e">
        <f>B326/(No_who_answered_survey-COUNTIFS(Table2[Your gender. Are you?],Condition_1,Table2[Overall, how would you rate your experience of your appointment today? Please circle one.],"Not answered"))*100</f>
        <v>#DIV/0!</v>
      </c>
    </row>
    <row r="327" spans="1:4">
      <c r="A327" s="15" t="str">
        <f>'Validation List'!AG15</f>
        <v>Not answered</v>
      </c>
      <c r="B327" s="16">
        <f>COUNTIFS(Table2[Your gender. Are you?],Condition_1,Table2[Overall, how would you rate your experience of your appointment today? Please circle one.],A327)</f>
        <v>0</v>
      </c>
      <c r="C327" s="17" t="e">
        <f t="shared" si="42"/>
        <v>#DIV/0!</v>
      </c>
      <c r="D327" s="17"/>
    </row>
    <row r="328" spans="1:4">
      <c r="A328" s="15" t="s">
        <v>39</v>
      </c>
      <c r="B328" s="16">
        <f>SUM(B322:B327)</f>
        <v>0</v>
      </c>
      <c r="C328" s="17" t="e">
        <f>SUM(C322:C327)</f>
        <v>#DIV/0!</v>
      </c>
      <c r="D328" s="17" t="e">
        <f>SUM(D322:D327)</f>
        <v>#DIV/0!</v>
      </c>
    </row>
    <row r="329" spans="1:4">
      <c r="A329" s="18"/>
      <c r="B329" s="13"/>
      <c r="C329" s="22"/>
      <c r="D329" s="22"/>
    </row>
    <row r="330" spans="1:4">
      <c r="A330" s="18"/>
      <c r="B330" s="13"/>
      <c r="C330" s="22"/>
      <c r="D330" s="22"/>
    </row>
    <row r="331" spans="1:4">
      <c r="A331" s="47" t="str">
        <f>'Validation List'!AH3</f>
        <v>Patient awareness of The National Healthcare Charter, ‘You and Your Health Service’</v>
      </c>
      <c r="B331" s="48"/>
      <c r="C331" s="48"/>
      <c r="D331" s="49"/>
    </row>
    <row r="332" spans="1:4">
      <c r="A332" s="15"/>
      <c r="B332" s="16" t="s">
        <v>37</v>
      </c>
      <c r="C332" s="17" t="s">
        <v>38</v>
      </c>
      <c r="D332" s="17" t="s">
        <v>42</v>
      </c>
    </row>
    <row r="333" spans="1:4">
      <c r="A333" s="15" t="str">
        <f>'Validation List'!AH6</f>
        <v>Yes</v>
      </c>
      <c r="B333" s="16">
        <f>COUNTIFS(Table2[Your gender. Are you?],Condition_1,Table2[Are you aware of The National Healthcare Charter, ‘You and Your Health Service’:],A333)</f>
        <v>0</v>
      </c>
      <c r="C333" s="17" t="e">
        <f t="shared" ref="C333:C335" si="43">B333/No_who_answered_survey*100</f>
        <v>#DIV/0!</v>
      </c>
      <c r="D333" s="17" t="e">
        <f>B333/(No_who_answered_survey-COUNTIFS(Table2[Your gender. Are you?],Condition_1,Table2[Are you aware of The National Healthcare Charter, ‘You and Your Health Service’:],"Not answered"))*100</f>
        <v>#DIV/0!</v>
      </c>
    </row>
    <row r="334" spans="1:4">
      <c r="A334" s="15" t="str">
        <f>'Validation List'!AH7</f>
        <v>No</v>
      </c>
      <c r="B334" s="16">
        <f>COUNTIFS(Table2[Your gender. Are you?],Condition_1,Table2[Are you aware of The National Healthcare Charter, ‘You and Your Health Service’:],A334)</f>
        <v>0</v>
      </c>
      <c r="C334" s="17" t="e">
        <f t="shared" si="43"/>
        <v>#DIV/0!</v>
      </c>
      <c r="D334" s="17" t="e">
        <f>B334/(No_who_answered_survey-COUNTIFS(Table2[Your gender. Are you?],Condition_1,Table2[Are you aware of The National Healthcare Charter, ‘You and Your Health Service’:],"Not answered"))*100</f>
        <v>#DIV/0!</v>
      </c>
    </row>
    <row r="335" spans="1:4">
      <c r="A335" s="15" t="str">
        <f>'Validation List'!AH15</f>
        <v>Not answered</v>
      </c>
      <c r="B335" s="16">
        <f>COUNTIFS(Table2[Your gender. Are you?],Condition_1,Table2[Are you aware of The National Healthcare Charter, ‘You and Your Health Service’:],A335)</f>
        <v>0</v>
      </c>
      <c r="C335" s="17" t="e">
        <f t="shared" si="43"/>
        <v>#DIV/0!</v>
      </c>
      <c r="D335" s="17"/>
    </row>
    <row r="336" spans="1:4">
      <c r="A336" s="15" t="s">
        <v>39</v>
      </c>
      <c r="B336" s="16">
        <f>SUM(B333:B335)</f>
        <v>0</v>
      </c>
      <c r="C336" s="17" t="e">
        <f>SUM(C333:C335)</f>
        <v>#DIV/0!</v>
      </c>
      <c r="D336" s="17" t="e">
        <f>SUM(D333:D335)</f>
        <v>#DIV/0!</v>
      </c>
    </row>
    <row r="337" spans="1:4">
      <c r="A337" s="18"/>
      <c r="B337" s="13"/>
      <c r="C337" s="22"/>
      <c r="D337" s="22"/>
    </row>
    <row r="338" spans="1:4">
      <c r="A338" s="18"/>
      <c r="B338" s="13"/>
      <c r="C338" s="22"/>
      <c r="D338" s="22"/>
    </row>
    <row r="339" spans="1:4">
      <c r="A339" s="47" t="str">
        <f>'Validation List'!AI3</f>
        <v>Patient awareness of ‘Your Service Your Say’ (HSE Complaints Process)</v>
      </c>
      <c r="B339" s="48"/>
      <c r="C339" s="48"/>
      <c r="D339" s="49"/>
    </row>
    <row r="340" spans="1:4">
      <c r="A340" s="15"/>
      <c r="B340" s="16" t="s">
        <v>37</v>
      </c>
      <c r="C340" s="17" t="s">
        <v>38</v>
      </c>
      <c r="D340" s="17" t="s">
        <v>42</v>
      </c>
    </row>
    <row r="341" spans="1:4">
      <c r="A341" s="15" t="str">
        <f>'Validation List'!AI6</f>
        <v>Yes</v>
      </c>
      <c r="B341" s="16">
        <f>COUNTIFS(Table2[Your gender. Are you?],Condition_1,Table2[Are you aware of ‘Your Service Your Say’ (HSE Complaints Process):],A341)</f>
        <v>0</v>
      </c>
      <c r="C341" s="17" t="e">
        <f t="shared" ref="C341:C343" si="44">B341/No_who_answered_survey*100</f>
        <v>#DIV/0!</v>
      </c>
      <c r="D341" s="17" t="e">
        <f>B341/(No_who_answered_survey-COUNTIFS(Table2[Your gender. Are you?],Condition_1,Table2[Are you aware of ‘Your Service Your Say’ (HSE Complaints Process):],"Not answered"))*100</f>
        <v>#DIV/0!</v>
      </c>
    </row>
    <row r="342" spans="1:4">
      <c r="A342" s="15" t="str">
        <f>'Validation List'!AI7</f>
        <v>No</v>
      </c>
      <c r="B342" s="16">
        <f>COUNTIFS(Table2[Your gender. Are you?],Condition_1,Table2[Are you aware of ‘Your Service Your Say’ (HSE Complaints Process):],A342)</f>
        <v>0</v>
      </c>
      <c r="C342" s="17" t="e">
        <f t="shared" si="44"/>
        <v>#DIV/0!</v>
      </c>
      <c r="D342" s="17" t="e">
        <f>B342/(No_who_answered_survey-COUNTIFS(Table2[Your gender. Are you?],Condition_1,Table2[Are you aware of ‘Your Service Your Say’ (HSE Complaints Process):],"Not answered"))*100</f>
        <v>#DIV/0!</v>
      </c>
    </row>
    <row r="343" spans="1:4">
      <c r="A343" s="15" t="str">
        <f>'Validation List'!AI15</f>
        <v>Not answered</v>
      </c>
      <c r="B343" s="16">
        <f>COUNTIFS(Table2[Your gender. Are you?],Condition_1,Table2[Are you aware of ‘Your Service Your Say’ (HSE Complaints Process):],A343)</f>
        <v>0</v>
      </c>
      <c r="C343" s="17" t="e">
        <f t="shared" si="44"/>
        <v>#DIV/0!</v>
      </c>
      <c r="D343" s="17"/>
    </row>
    <row r="344" spans="1:4">
      <c r="A344" s="15" t="s">
        <v>39</v>
      </c>
      <c r="B344" s="16">
        <f>SUM(B341:B343)</f>
        <v>0</v>
      </c>
      <c r="C344" s="17" t="e">
        <f>SUM(C341:C343)</f>
        <v>#DIV/0!</v>
      </c>
      <c r="D344" s="17" t="e">
        <f>SUM(D341:D343)</f>
        <v>#DIV/0!</v>
      </c>
    </row>
    <row r="345" spans="1:4">
      <c r="A345" s="19"/>
      <c r="B345" s="20"/>
      <c r="C345" s="21"/>
      <c r="D345" s="21"/>
    </row>
    <row r="346" spans="1:4">
      <c r="A346" s="18"/>
      <c r="B346" s="13"/>
      <c r="C346" s="22"/>
      <c r="D346" s="22"/>
    </row>
    <row r="347" spans="1:4">
      <c r="A347" s="18"/>
      <c r="B347" s="13"/>
      <c r="C347" s="22"/>
      <c r="D347" s="13"/>
    </row>
    <row r="348" spans="1:4">
      <c r="A348" s="18"/>
      <c r="B348" s="13"/>
      <c r="C348" s="22"/>
      <c r="D348" s="13"/>
    </row>
    <row r="349" spans="1:4">
      <c r="A349" s="18"/>
      <c r="B349" s="13"/>
      <c r="C349" s="22"/>
      <c r="D349" s="13"/>
    </row>
    <row r="350" spans="1:4">
      <c r="A350" s="18"/>
      <c r="B350" s="13"/>
      <c r="C350" s="22"/>
      <c r="D350" s="13"/>
    </row>
    <row r="351" spans="1:4">
      <c r="A351" s="18"/>
      <c r="B351" s="13"/>
      <c r="C351" s="22"/>
      <c r="D351" s="13"/>
    </row>
    <row r="352" spans="1:4">
      <c r="A352" s="18"/>
      <c r="B352" s="13"/>
      <c r="C352" s="22"/>
      <c r="D352" s="13"/>
    </row>
    <row r="353" spans="1:4">
      <c r="A353" s="18"/>
      <c r="B353" s="13"/>
      <c r="C353" s="22"/>
      <c r="D353" s="13"/>
    </row>
    <row r="354" spans="1:4">
      <c r="A354" s="18"/>
      <c r="B354" s="13"/>
      <c r="C354" s="22"/>
      <c r="D354" s="13"/>
    </row>
    <row r="355" spans="1:4">
      <c r="A355" s="18"/>
      <c r="B355" s="13"/>
      <c r="C355" s="22"/>
      <c r="D355" s="13"/>
    </row>
    <row r="356" spans="1:4">
      <c r="A356" s="18"/>
      <c r="B356" s="13"/>
      <c r="C356" s="22"/>
      <c r="D356" s="13"/>
    </row>
    <row r="357" spans="1:4">
      <c r="A357" s="18"/>
      <c r="B357" s="13"/>
      <c r="C357" s="22"/>
      <c r="D357" s="13"/>
    </row>
    <row r="358" spans="1:4">
      <c r="A358" s="18"/>
      <c r="B358" s="13"/>
      <c r="C358" s="22"/>
      <c r="D358" s="13"/>
    </row>
    <row r="359" spans="1:4">
      <c r="A359" s="18"/>
      <c r="B359" s="13"/>
      <c r="C359" s="22"/>
      <c r="D359" s="13"/>
    </row>
    <row r="360" spans="1:4">
      <c r="A360" s="18"/>
      <c r="B360" s="13"/>
      <c r="C360" s="22"/>
      <c r="D360" s="13"/>
    </row>
    <row r="361" spans="1:4">
      <c r="A361" s="18"/>
      <c r="B361" s="13"/>
      <c r="C361" s="22"/>
      <c r="D361" s="13"/>
    </row>
    <row r="362" spans="1:4">
      <c r="A362" s="18"/>
      <c r="B362" s="13"/>
      <c r="C362" s="22"/>
      <c r="D362" s="13"/>
    </row>
    <row r="363" spans="1:4">
      <c r="A363" s="18"/>
      <c r="B363" s="13"/>
      <c r="C363" s="22"/>
      <c r="D363" s="13"/>
    </row>
    <row r="364" spans="1:4">
      <c r="A364" s="18"/>
      <c r="B364" s="13"/>
      <c r="C364" s="22"/>
      <c r="D364" s="13"/>
    </row>
    <row r="365" spans="1:4">
      <c r="A365" s="18"/>
      <c r="B365" s="13"/>
      <c r="C365" s="22"/>
      <c r="D365" s="13"/>
    </row>
    <row r="366" spans="1:4">
      <c r="A366" s="18"/>
      <c r="B366" s="13"/>
      <c r="C366" s="22"/>
      <c r="D366" s="13"/>
    </row>
    <row r="367" spans="1:4">
      <c r="A367" s="18"/>
      <c r="B367" s="13"/>
      <c r="C367" s="22"/>
      <c r="D367" s="13"/>
    </row>
    <row r="368" spans="1:4">
      <c r="A368" s="18"/>
      <c r="B368" s="13"/>
      <c r="C368" s="22"/>
      <c r="D368" s="13"/>
    </row>
    <row r="369" spans="1:4">
      <c r="A369" s="18"/>
      <c r="B369" s="13"/>
      <c r="C369" s="22"/>
      <c r="D369" s="13"/>
    </row>
    <row r="370" spans="1:4">
      <c r="A370" s="18"/>
      <c r="B370" s="13"/>
      <c r="C370" s="22"/>
      <c r="D370" s="13"/>
    </row>
    <row r="371" spans="1:4">
      <c r="A371" s="18"/>
      <c r="B371" s="13"/>
      <c r="C371" s="22"/>
      <c r="D371" s="13"/>
    </row>
    <row r="372" spans="1:4">
      <c r="A372" s="18"/>
      <c r="B372" s="13"/>
      <c r="C372" s="22"/>
      <c r="D372" s="13"/>
    </row>
    <row r="373" spans="1:4">
      <c r="A373" s="18"/>
      <c r="B373" s="13"/>
      <c r="C373" s="22"/>
      <c r="D373" s="13"/>
    </row>
    <row r="374" spans="1:4">
      <c r="A374" s="18"/>
      <c r="B374" s="13"/>
      <c r="C374" s="22"/>
      <c r="D374" s="13"/>
    </row>
    <row r="375" spans="1:4">
      <c r="A375" s="18"/>
      <c r="B375" s="13"/>
      <c r="C375" s="22"/>
      <c r="D375" s="13"/>
    </row>
    <row r="376" spans="1:4">
      <c r="A376" s="18"/>
      <c r="B376" s="13"/>
      <c r="C376" s="22"/>
      <c r="D376" s="13"/>
    </row>
    <row r="377" spans="1:4">
      <c r="A377" s="18"/>
      <c r="B377" s="13"/>
      <c r="C377" s="22"/>
      <c r="D377" s="13"/>
    </row>
    <row r="378" spans="1:4">
      <c r="A378" s="18"/>
      <c r="B378" s="13"/>
      <c r="C378" s="22"/>
      <c r="D378" s="13"/>
    </row>
    <row r="379" spans="1:4">
      <c r="A379" s="18"/>
      <c r="B379" s="13"/>
      <c r="C379" s="22"/>
      <c r="D379" s="13"/>
    </row>
    <row r="380" spans="1:4">
      <c r="A380" s="18"/>
      <c r="B380" s="13"/>
      <c r="C380" s="22"/>
      <c r="D380" s="13"/>
    </row>
    <row r="381" spans="1:4">
      <c r="A381" s="18"/>
      <c r="B381" s="13"/>
      <c r="C381" s="22"/>
      <c r="D381" s="13"/>
    </row>
    <row r="382" spans="1:4">
      <c r="A382" s="18"/>
      <c r="B382" s="13"/>
      <c r="C382" s="22"/>
      <c r="D382" s="13"/>
    </row>
    <row r="383" spans="1:4">
      <c r="A383" s="18"/>
      <c r="B383" s="13"/>
      <c r="C383" s="22"/>
      <c r="D383" s="13"/>
    </row>
    <row r="384" spans="1:4">
      <c r="A384" s="18"/>
      <c r="B384" s="13"/>
      <c r="C384" s="22"/>
      <c r="D384" s="13"/>
    </row>
    <row r="385" spans="1:8">
      <c r="A385" s="18"/>
      <c r="B385" s="13"/>
      <c r="C385" s="22"/>
      <c r="D385" s="13"/>
    </row>
    <row r="386" spans="1:8">
      <c r="A386" s="18"/>
      <c r="B386" s="13"/>
      <c r="C386" s="22"/>
      <c r="D386" s="13"/>
    </row>
    <row r="387" spans="1:8">
      <c r="A387" s="18"/>
      <c r="B387" s="13"/>
      <c r="C387" s="22"/>
      <c r="D387" s="13"/>
    </row>
    <row r="388" spans="1:8" ht="19.5" customHeight="1">
      <c r="A388" s="18"/>
      <c r="B388" s="13"/>
      <c r="C388" s="22"/>
      <c r="D388" s="13"/>
    </row>
    <row r="389" spans="1:8">
      <c r="A389" s="18"/>
      <c r="B389" s="13"/>
      <c r="C389" s="22"/>
      <c r="D389" s="13"/>
    </row>
    <row r="390" spans="1:8">
      <c r="A390" s="18"/>
      <c r="B390" s="13"/>
      <c r="C390" s="22"/>
      <c r="D390" s="13"/>
    </row>
    <row r="391" spans="1:8">
      <c r="A391" s="18"/>
      <c r="B391" s="13"/>
      <c r="C391" s="22"/>
      <c r="D391" s="13"/>
    </row>
    <row r="392" spans="1:8">
      <c r="A392" s="18"/>
      <c r="B392" s="13"/>
      <c r="C392" s="22"/>
      <c r="D392" s="13"/>
    </row>
    <row r="393" spans="1:8">
      <c r="A393" s="18"/>
      <c r="B393" s="13"/>
      <c r="C393" s="22"/>
      <c r="D393" s="13"/>
    </row>
    <row r="394" spans="1:8">
      <c r="A394" s="18"/>
      <c r="B394" s="13"/>
      <c r="C394" s="22"/>
      <c r="D394" s="13"/>
    </row>
    <row r="395" spans="1:8">
      <c r="A395" s="18"/>
      <c r="B395" s="13"/>
      <c r="C395" s="22"/>
      <c r="D395" s="13"/>
    </row>
    <row r="396" spans="1:8">
      <c r="A396" s="18"/>
      <c r="B396" s="13"/>
      <c r="C396" s="22"/>
      <c r="D396" s="13"/>
    </row>
    <row r="397" spans="1:8">
      <c r="A397" s="18"/>
      <c r="B397" s="13"/>
      <c r="C397" s="22"/>
      <c r="D397" s="13"/>
    </row>
    <row r="398" spans="1:8">
      <c r="A398" s="18"/>
      <c r="B398" s="13"/>
      <c r="C398" s="22"/>
      <c r="D398" s="13"/>
    </row>
    <row r="399" spans="1:8">
      <c r="A399" s="18"/>
      <c r="B399" s="18"/>
      <c r="C399" s="23"/>
      <c r="D399" s="18"/>
      <c r="E399" s="26"/>
      <c r="F399" s="26"/>
      <c r="G399" s="26"/>
      <c r="H399" s="26"/>
    </row>
    <row r="400" spans="1:8">
      <c r="A400" s="18"/>
      <c r="B400" s="13"/>
      <c r="C400" s="22"/>
      <c r="D400" s="13"/>
    </row>
    <row r="401" spans="1:4">
      <c r="A401" s="18"/>
      <c r="B401" s="13"/>
      <c r="C401" s="22"/>
      <c r="D401" s="13"/>
    </row>
    <row r="402" spans="1:4">
      <c r="A402" s="18"/>
      <c r="B402" s="13"/>
      <c r="C402" s="22"/>
      <c r="D402" s="13"/>
    </row>
    <row r="403" spans="1:4">
      <c r="A403" s="18"/>
      <c r="B403" s="13"/>
      <c r="C403" s="22"/>
      <c r="D403" s="13"/>
    </row>
    <row r="404" spans="1:4">
      <c r="A404" s="18"/>
      <c r="B404" s="13"/>
      <c r="C404" s="22"/>
      <c r="D404" s="13"/>
    </row>
    <row r="405" spans="1:4">
      <c r="A405" s="18"/>
      <c r="B405" s="13"/>
      <c r="C405" s="22"/>
      <c r="D405" s="13"/>
    </row>
    <row r="406" spans="1:4">
      <c r="A406" s="18"/>
      <c r="B406" s="13"/>
      <c r="C406" s="22"/>
      <c r="D406" s="13"/>
    </row>
    <row r="407" spans="1:4">
      <c r="A407" s="18"/>
      <c r="B407" s="13"/>
      <c r="C407" s="22"/>
      <c r="D407" s="13"/>
    </row>
    <row r="408" spans="1:4">
      <c r="A408" s="18"/>
      <c r="B408" s="13"/>
      <c r="C408" s="22"/>
      <c r="D408" s="13"/>
    </row>
    <row r="409" spans="1:4">
      <c r="A409" s="18"/>
      <c r="B409" s="13"/>
      <c r="C409" s="22"/>
      <c r="D409" s="13"/>
    </row>
    <row r="410" spans="1:4">
      <c r="A410" s="18"/>
      <c r="B410" s="13"/>
      <c r="C410" s="22"/>
      <c r="D410" s="13"/>
    </row>
    <row r="411" spans="1:4">
      <c r="A411" s="18"/>
      <c r="B411" s="13"/>
      <c r="C411" s="22"/>
      <c r="D411" s="13"/>
    </row>
    <row r="412" spans="1:4">
      <c r="A412" s="18"/>
      <c r="B412" s="13"/>
      <c r="C412" s="22"/>
      <c r="D412" s="13"/>
    </row>
    <row r="413" spans="1:4">
      <c r="A413" s="18"/>
      <c r="B413" s="13"/>
      <c r="C413" s="22"/>
      <c r="D413" s="13"/>
    </row>
    <row r="414" spans="1:4">
      <c r="A414" s="18"/>
      <c r="B414" s="13"/>
      <c r="C414" s="22"/>
      <c r="D414" s="13"/>
    </row>
    <row r="415" spans="1:4">
      <c r="A415" s="18"/>
      <c r="B415" s="13"/>
      <c r="C415" s="22"/>
      <c r="D415" s="13"/>
    </row>
    <row r="416" spans="1:4">
      <c r="A416" s="18"/>
      <c r="B416" s="13"/>
      <c r="C416" s="22"/>
      <c r="D416" s="13"/>
    </row>
    <row r="417" spans="1:4">
      <c r="A417" s="18"/>
      <c r="B417" s="13"/>
      <c r="C417" s="22"/>
      <c r="D417" s="13"/>
    </row>
    <row r="418" spans="1:4">
      <c r="A418" s="18"/>
      <c r="B418" s="13"/>
      <c r="C418" s="22"/>
      <c r="D418" s="13"/>
    </row>
    <row r="419" spans="1:4">
      <c r="A419" s="18"/>
      <c r="B419" s="13"/>
      <c r="C419" s="22"/>
      <c r="D419" s="13"/>
    </row>
    <row r="420" spans="1:4">
      <c r="A420" s="18"/>
      <c r="B420" s="13"/>
      <c r="C420" s="22"/>
      <c r="D420" s="13"/>
    </row>
    <row r="421" spans="1:4">
      <c r="A421" s="18"/>
      <c r="B421" s="13"/>
      <c r="C421" s="22"/>
      <c r="D421" s="13"/>
    </row>
    <row r="422" spans="1:4">
      <c r="A422" s="18"/>
      <c r="B422" s="13"/>
      <c r="C422" s="22"/>
      <c r="D422" s="13"/>
    </row>
    <row r="423" spans="1:4">
      <c r="A423" s="18"/>
      <c r="B423" s="13"/>
      <c r="C423" s="22"/>
      <c r="D423" s="13"/>
    </row>
    <row r="424" spans="1:4">
      <c r="A424" s="18"/>
      <c r="B424" s="13"/>
      <c r="C424" s="22"/>
      <c r="D424" s="13"/>
    </row>
    <row r="425" spans="1:4">
      <c r="A425" s="18"/>
      <c r="B425" s="13"/>
      <c r="C425" s="22"/>
      <c r="D425" s="13"/>
    </row>
    <row r="426" spans="1:4">
      <c r="A426" s="18"/>
      <c r="B426" s="13"/>
      <c r="C426" s="22"/>
      <c r="D426" s="13"/>
    </row>
    <row r="427" spans="1:4">
      <c r="A427" s="18"/>
      <c r="B427" s="13"/>
      <c r="C427" s="22"/>
      <c r="D427" s="13"/>
    </row>
    <row r="428" spans="1:4">
      <c r="A428" s="18"/>
      <c r="B428" s="13"/>
      <c r="C428" s="22"/>
      <c r="D428" s="13"/>
    </row>
    <row r="429" spans="1:4">
      <c r="A429" s="18"/>
      <c r="B429" s="13"/>
      <c r="C429" s="22"/>
      <c r="D429" s="13"/>
    </row>
    <row r="430" spans="1:4">
      <c r="A430" s="18"/>
      <c r="B430" s="13"/>
      <c r="C430" s="22"/>
      <c r="D430" s="13"/>
    </row>
    <row r="431" spans="1:4">
      <c r="A431" s="18"/>
      <c r="B431" s="13"/>
      <c r="C431" s="22"/>
      <c r="D431" s="13"/>
    </row>
    <row r="432" spans="1:4">
      <c r="A432" s="18"/>
      <c r="B432" s="13"/>
      <c r="C432" s="22"/>
      <c r="D432" s="13"/>
    </row>
    <row r="433" spans="1:4">
      <c r="A433" s="18"/>
      <c r="B433" s="13"/>
      <c r="C433" s="22"/>
      <c r="D433" s="13"/>
    </row>
    <row r="434" spans="1:4">
      <c r="A434" s="18"/>
      <c r="B434" s="13"/>
      <c r="C434" s="22"/>
      <c r="D434" s="13"/>
    </row>
    <row r="435" spans="1:4">
      <c r="A435" s="18"/>
      <c r="B435" s="13"/>
      <c r="C435" s="22"/>
      <c r="D435" s="13"/>
    </row>
    <row r="436" spans="1:4">
      <c r="A436" s="18"/>
      <c r="B436" s="13"/>
      <c r="C436" s="22"/>
      <c r="D436" s="13"/>
    </row>
    <row r="437" spans="1:4">
      <c r="A437" s="18"/>
      <c r="B437" s="13"/>
      <c r="C437" s="22"/>
      <c r="D437" s="13"/>
    </row>
    <row r="438" spans="1:4">
      <c r="A438" s="18"/>
      <c r="B438" s="13"/>
      <c r="C438" s="22"/>
      <c r="D438" s="13"/>
    </row>
    <row r="439" spans="1:4">
      <c r="A439" s="18"/>
      <c r="B439" s="13"/>
      <c r="C439" s="22"/>
      <c r="D439" s="13"/>
    </row>
    <row r="440" spans="1:4">
      <c r="A440" s="18"/>
      <c r="B440" s="13"/>
      <c r="C440" s="22"/>
      <c r="D440" s="13"/>
    </row>
    <row r="441" spans="1:4">
      <c r="A441" s="18"/>
      <c r="B441" s="13"/>
      <c r="C441" s="22"/>
      <c r="D441" s="13"/>
    </row>
    <row r="442" spans="1:4">
      <c r="A442" s="18"/>
      <c r="B442" s="13"/>
      <c r="C442" s="22"/>
      <c r="D442" s="13"/>
    </row>
    <row r="443" spans="1:4">
      <c r="A443" s="18"/>
      <c r="B443" s="13"/>
      <c r="C443" s="22"/>
      <c r="D443" s="13"/>
    </row>
    <row r="444" spans="1:4">
      <c r="A444" s="18"/>
      <c r="B444" s="13"/>
      <c r="C444" s="22"/>
      <c r="D444" s="13"/>
    </row>
    <row r="445" spans="1:4">
      <c r="A445" s="18"/>
      <c r="B445" s="13"/>
      <c r="C445" s="22"/>
      <c r="D445" s="13"/>
    </row>
    <row r="446" spans="1:4">
      <c r="A446" s="18"/>
      <c r="B446" s="13"/>
      <c r="C446" s="22"/>
      <c r="D446" s="13"/>
    </row>
    <row r="447" spans="1:4">
      <c r="A447" s="18"/>
      <c r="B447" s="13"/>
      <c r="C447" s="22"/>
      <c r="D447" s="13"/>
    </row>
    <row r="448" spans="1:4">
      <c r="A448" s="18"/>
      <c r="B448" s="13"/>
      <c r="C448" s="22"/>
      <c r="D448" s="13"/>
    </row>
    <row r="449" spans="1:4">
      <c r="A449" s="18"/>
      <c r="B449" s="13"/>
      <c r="C449" s="22"/>
      <c r="D449" s="13"/>
    </row>
    <row r="450" spans="1:4">
      <c r="A450" s="18"/>
      <c r="B450" s="13"/>
      <c r="C450" s="22"/>
      <c r="D450" s="13"/>
    </row>
    <row r="451" spans="1:4">
      <c r="A451" s="18"/>
      <c r="B451" s="13"/>
      <c r="C451" s="22"/>
      <c r="D451" s="13"/>
    </row>
    <row r="452" spans="1:4">
      <c r="A452" s="18"/>
      <c r="B452" s="13"/>
      <c r="C452" s="22"/>
      <c r="D452" s="13"/>
    </row>
    <row r="453" spans="1:4">
      <c r="A453" s="18"/>
      <c r="B453" s="13"/>
      <c r="C453" s="22"/>
      <c r="D453" s="13"/>
    </row>
    <row r="454" spans="1:4">
      <c r="A454" s="18"/>
      <c r="B454" s="13"/>
      <c r="C454" s="22"/>
      <c r="D454" s="13"/>
    </row>
    <row r="455" spans="1:4">
      <c r="A455" s="18"/>
      <c r="B455" s="13"/>
      <c r="C455" s="22"/>
      <c r="D455" s="13"/>
    </row>
    <row r="456" spans="1:4">
      <c r="A456" s="18"/>
      <c r="B456" s="13"/>
      <c r="C456" s="22"/>
      <c r="D456" s="13"/>
    </row>
    <row r="457" spans="1:4">
      <c r="A457" s="18"/>
      <c r="B457" s="13"/>
      <c r="C457" s="22"/>
      <c r="D457" s="13"/>
    </row>
    <row r="458" spans="1:4">
      <c r="A458" s="18"/>
      <c r="B458" s="13"/>
      <c r="C458" s="22"/>
      <c r="D458" s="13"/>
    </row>
    <row r="459" spans="1:4">
      <c r="A459" s="18"/>
      <c r="B459" s="13"/>
      <c r="C459" s="22"/>
      <c r="D459" s="13"/>
    </row>
    <row r="460" spans="1:4">
      <c r="A460" s="18"/>
      <c r="B460" s="13"/>
      <c r="C460" s="22"/>
      <c r="D460" s="13"/>
    </row>
    <row r="461" spans="1:4">
      <c r="A461" s="18"/>
      <c r="B461" s="13"/>
      <c r="C461" s="22"/>
      <c r="D461" s="13"/>
    </row>
    <row r="462" spans="1:4">
      <c r="A462" s="18"/>
      <c r="B462" s="13"/>
      <c r="C462" s="22"/>
      <c r="D462" s="13"/>
    </row>
    <row r="463" spans="1:4">
      <c r="A463" s="18"/>
      <c r="B463" s="13"/>
      <c r="C463" s="22"/>
      <c r="D463" s="13"/>
    </row>
    <row r="464" spans="1:4">
      <c r="A464" s="18"/>
      <c r="B464" s="13"/>
      <c r="C464" s="22"/>
      <c r="D464" s="13"/>
    </row>
    <row r="465" spans="1:4">
      <c r="A465" s="18"/>
      <c r="B465" s="13"/>
      <c r="C465" s="22"/>
      <c r="D465" s="13"/>
    </row>
    <row r="466" spans="1:4">
      <c r="A466" s="18"/>
      <c r="B466" s="13"/>
      <c r="C466" s="22"/>
      <c r="D466" s="13"/>
    </row>
    <row r="467" spans="1:4">
      <c r="A467" s="18"/>
      <c r="B467" s="13"/>
      <c r="C467" s="22"/>
      <c r="D467" s="13"/>
    </row>
    <row r="468" spans="1:4">
      <c r="A468" s="18"/>
      <c r="B468" s="13"/>
      <c r="C468" s="22"/>
      <c r="D468" s="13"/>
    </row>
    <row r="469" spans="1:4">
      <c r="A469" s="18"/>
      <c r="B469" s="13"/>
      <c r="C469" s="22"/>
      <c r="D469" s="13"/>
    </row>
    <row r="470" spans="1:4">
      <c r="A470" s="18"/>
      <c r="B470" s="13"/>
      <c r="C470" s="22"/>
      <c r="D470" s="13"/>
    </row>
    <row r="471" spans="1:4">
      <c r="A471" s="18"/>
      <c r="B471" s="13"/>
      <c r="C471" s="22"/>
      <c r="D471" s="13"/>
    </row>
    <row r="472" spans="1:4">
      <c r="A472" s="18"/>
      <c r="B472" s="13"/>
      <c r="C472" s="22"/>
      <c r="D472" s="13"/>
    </row>
    <row r="473" spans="1:4">
      <c r="A473" s="18"/>
      <c r="B473" s="13"/>
      <c r="C473" s="22"/>
      <c r="D473" s="13"/>
    </row>
    <row r="474" spans="1:4">
      <c r="A474" s="18"/>
      <c r="B474" s="13"/>
      <c r="C474" s="22"/>
      <c r="D474" s="13"/>
    </row>
    <row r="475" spans="1:4">
      <c r="A475" s="18"/>
      <c r="B475" s="13"/>
      <c r="C475" s="22"/>
      <c r="D475" s="13"/>
    </row>
    <row r="476" spans="1:4">
      <c r="A476" s="18"/>
      <c r="B476" s="13"/>
      <c r="C476" s="22"/>
      <c r="D476" s="13"/>
    </row>
    <row r="477" spans="1:4">
      <c r="A477" s="18"/>
      <c r="B477" s="13"/>
      <c r="C477" s="22"/>
      <c r="D477" s="13"/>
    </row>
    <row r="478" spans="1:4">
      <c r="A478" s="18"/>
      <c r="B478" s="13"/>
      <c r="C478" s="22"/>
      <c r="D478" s="13"/>
    </row>
    <row r="479" spans="1:4">
      <c r="A479" s="18"/>
      <c r="B479" s="13"/>
      <c r="C479" s="22"/>
      <c r="D479" s="13"/>
    </row>
    <row r="480" spans="1:4">
      <c r="A480" s="18"/>
      <c r="B480" s="13"/>
      <c r="C480" s="22"/>
      <c r="D480" s="13"/>
    </row>
    <row r="481" spans="1:4">
      <c r="A481" s="18"/>
      <c r="B481" s="13"/>
      <c r="C481" s="22"/>
      <c r="D481" s="13"/>
    </row>
    <row r="482" spans="1:4">
      <c r="A482" s="18"/>
      <c r="B482" s="13"/>
      <c r="C482" s="22"/>
      <c r="D482" s="13"/>
    </row>
    <row r="483" spans="1:4">
      <c r="A483" s="18"/>
      <c r="B483" s="13"/>
      <c r="C483" s="22"/>
      <c r="D483" s="13"/>
    </row>
    <row r="484" spans="1:4">
      <c r="A484" s="18"/>
      <c r="B484" s="13"/>
      <c r="C484" s="22"/>
      <c r="D484" s="13"/>
    </row>
    <row r="485" spans="1:4">
      <c r="A485" s="18"/>
      <c r="B485" s="13"/>
      <c r="C485" s="22"/>
      <c r="D485" s="13"/>
    </row>
    <row r="486" spans="1:4">
      <c r="A486" s="18"/>
      <c r="B486" s="13"/>
      <c r="C486" s="22"/>
      <c r="D486" s="13"/>
    </row>
    <row r="487" spans="1:4">
      <c r="A487" s="18"/>
      <c r="B487" s="13"/>
      <c r="C487" s="22"/>
      <c r="D487" s="13"/>
    </row>
    <row r="488" spans="1:4">
      <c r="A488" s="18"/>
      <c r="B488" s="13"/>
      <c r="C488" s="22"/>
      <c r="D488" s="13"/>
    </row>
    <row r="489" spans="1:4">
      <c r="A489" s="18"/>
      <c r="B489" s="13"/>
      <c r="C489" s="22"/>
      <c r="D489" s="13"/>
    </row>
    <row r="490" spans="1:4">
      <c r="A490" s="18"/>
      <c r="B490" s="13"/>
      <c r="C490" s="22"/>
      <c r="D490" s="13"/>
    </row>
    <row r="491" spans="1:4">
      <c r="A491" s="18"/>
      <c r="B491" s="13"/>
      <c r="C491" s="22"/>
      <c r="D491" s="13"/>
    </row>
    <row r="492" spans="1:4">
      <c r="A492" s="18"/>
      <c r="B492" s="13"/>
      <c r="C492" s="22"/>
      <c r="D492" s="13"/>
    </row>
    <row r="493" spans="1:4">
      <c r="A493" s="18"/>
      <c r="B493" s="13"/>
      <c r="C493" s="22"/>
      <c r="D493" s="13"/>
    </row>
    <row r="494" spans="1:4">
      <c r="A494" s="18"/>
      <c r="B494" s="13"/>
      <c r="C494" s="22"/>
      <c r="D494" s="13"/>
    </row>
    <row r="495" spans="1:4">
      <c r="A495" s="18"/>
      <c r="B495" s="13"/>
      <c r="C495" s="22"/>
      <c r="D495" s="13"/>
    </row>
    <row r="496" spans="1:4">
      <c r="A496" s="18"/>
      <c r="B496" s="13"/>
      <c r="C496" s="22"/>
      <c r="D496" s="13"/>
    </row>
    <row r="497" spans="1:4">
      <c r="A497" s="18"/>
      <c r="B497" s="13"/>
      <c r="C497" s="22"/>
      <c r="D497" s="13"/>
    </row>
    <row r="498" spans="1:4">
      <c r="A498" s="18"/>
      <c r="B498" s="13"/>
      <c r="C498" s="22"/>
      <c r="D498" s="13"/>
    </row>
    <row r="499" spans="1:4">
      <c r="A499" s="18"/>
      <c r="B499" s="13"/>
      <c r="C499" s="22"/>
      <c r="D499" s="13"/>
    </row>
    <row r="500" spans="1:4">
      <c r="A500" s="18"/>
      <c r="B500" s="13"/>
      <c r="C500" s="22"/>
      <c r="D500" s="13"/>
    </row>
    <row r="501" spans="1:4">
      <c r="A501" s="18"/>
      <c r="B501" s="13"/>
      <c r="C501" s="22"/>
      <c r="D501" s="13"/>
    </row>
    <row r="502" spans="1:4">
      <c r="A502" s="18"/>
      <c r="B502" s="13"/>
      <c r="C502" s="22"/>
      <c r="D502" s="13"/>
    </row>
    <row r="503" spans="1:4">
      <c r="A503" s="18"/>
      <c r="B503" s="13"/>
      <c r="C503" s="22"/>
      <c r="D503" s="13"/>
    </row>
    <row r="504" spans="1:4">
      <c r="A504" s="18"/>
      <c r="B504" s="13"/>
      <c r="C504" s="22"/>
      <c r="D504" s="13"/>
    </row>
    <row r="505" spans="1:4">
      <c r="A505" s="18"/>
      <c r="B505" s="13"/>
      <c r="C505" s="22"/>
      <c r="D505" s="13"/>
    </row>
    <row r="506" spans="1:4">
      <c r="A506" s="18"/>
      <c r="B506" s="13"/>
      <c r="C506" s="22"/>
      <c r="D506" s="13"/>
    </row>
    <row r="507" spans="1:4">
      <c r="A507" s="18"/>
      <c r="B507" s="13"/>
      <c r="C507" s="22"/>
      <c r="D507" s="13"/>
    </row>
    <row r="508" spans="1:4">
      <c r="A508" s="18"/>
      <c r="B508" s="13"/>
      <c r="C508" s="22"/>
      <c r="D508" s="13"/>
    </row>
    <row r="509" spans="1:4">
      <c r="A509" s="18"/>
      <c r="B509" s="13"/>
      <c r="C509" s="22"/>
      <c r="D509" s="13"/>
    </row>
    <row r="510" spans="1:4">
      <c r="A510" s="18"/>
      <c r="B510" s="13"/>
      <c r="C510" s="22"/>
      <c r="D510" s="13"/>
    </row>
    <row r="511" spans="1:4">
      <c r="A511" s="18"/>
      <c r="B511" s="13"/>
      <c r="C511" s="22"/>
      <c r="D511" s="13"/>
    </row>
    <row r="512" spans="1:4">
      <c r="A512" s="18"/>
      <c r="B512" s="13"/>
      <c r="C512" s="22"/>
      <c r="D512" s="13"/>
    </row>
    <row r="513" spans="1:4">
      <c r="A513" s="18"/>
      <c r="B513" s="13"/>
      <c r="C513" s="22"/>
      <c r="D513" s="13"/>
    </row>
    <row r="514" spans="1:4">
      <c r="A514" s="18"/>
      <c r="B514" s="13"/>
      <c r="C514" s="22"/>
      <c r="D514" s="13"/>
    </row>
    <row r="515" spans="1:4">
      <c r="A515" s="18"/>
      <c r="B515" s="13"/>
      <c r="C515" s="22"/>
      <c r="D515" s="13"/>
    </row>
    <row r="516" spans="1:4">
      <c r="A516" s="18"/>
      <c r="B516" s="13"/>
      <c r="C516" s="22"/>
      <c r="D516" s="13"/>
    </row>
    <row r="517" spans="1:4">
      <c r="A517" s="18"/>
      <c r="B517" s="13"/>
      <c r="C517" s="22"/>
      <c r="D517" s="13"/>
    </row>
    <row r="518" spans="1:4">
      <c r="A518" s="18"/>
      <c r="B518" s="13"/>
      <c r="C518" s="22"/>
      <c r="D518" s="13"/>
    </row>
    <row r="519" spans="1:4">
      <c r="A519" s="18"/>
      <c r="B519" s="13"/>
      <c r="C519" s="22"/>
      <c r="D519" s="13"/>
    </row>
    <row r="520" spans="1:4">
      <c r="A520" s="18"/>
      <c r="B520" s="13"/>
      <c r="C520" s="22"/>
      <c r="D520" s="13"/>
    </row>
    <row r="521" spans="1:4">
      <c r="A521" s="18"/>
      <c r="B521" s="13"/>
      <c r="C521" s="22"/>
      <c r="D521" s="13"/>
    </row>
    <row r="522" spans="1:4">
      <c r="A522" s="18"/>
      <c r="B522" s="13"/>
      <c r="C522" s="22"/>
      <c r="D522" s="13"/>
    </row>
    <row r="523" spans="1:4">
      <c r="A523" s="18"/>
      <c r="B523" s="13"/>
      <c r="C523" s="22"/>
      <c r="D523" s="13"/>
    </row>
    <row r="524" spans="1:4">
      <c r="A524" s="18"/>
      <c r="B524" s="13"/>
      <c r="C524" s="22"/>
      <c r="D524" s="13"/>
    </row>
    <row r="525" spans="1:4">
      <c r="A525" s="18"/>
      <c r="B525" s="13"/>
      <c r="C525" s="22"/>
      <c r="D525" s="13"/>
    </row>
    <row r="526" spans="1:4">
      <c r="A526" s="18"/>
      <c r="B526" s="13"/>
      <c r="C526" s="22"/>
      <c r="D526" s="13"/>
    </row>
    <row r="527" spans="1:4">
      <c r="A527" s="18"/>
      <c r="B527" s="13"/>
      <c r="C527" s="22"/>
      <c r="D527" s="13"/>
    </row>
    <row r="528" spans="1:4">
      <c r="A528" s="18"/>
      <c r="B528" s="13"/>
      <c r="C528" s="22"/>
      <c r="D528" s="13"/>
    </row>
    <row r="529" spans="1:4">
      <c r="A529" s="18"/>
      <c r="B529" s="13"/>
      <c r="C529" s="22"/>
      <c r="D529" s="13"/>
    </row>
    <row r="530" spans="1:4">
      <c r="A530" s="18"/>
      <c r="B530" s="13"/>
      <c r="C530" s="22"/>
      <c r="D530" s="13"/>
    </row>
    <row r="531" spans="1:4">
      <c r="A531" s="18"/>
      <c r="B531" s="13"/>
      <c r="C531" s="22"/>
      <c r="D531" s="13"/>
    </row>
    <row r="532" spans="1:4">
      <c r="A532" s="18"/>
      <c r="B532" s="13"/>
      <c r="C532" s="22"/>
      <c r="D532" s="13"/>
    </row>
    <row r="533" spans="1:4">
      <c r="A533" s="18"/>
      <c r="B533" s="13"/>
      <c r="C533" s="22"/>
      <c r="D533" s="13"/>
    </row>
    <row r="534" spans="1:4">
      <c r="A534" s="18"/>
      <c r="B534" s="13"/>
      <c r="C534" s="22"/>
      <c r="D534" s="13"/>
    </row>
    <row r="535" spans="1:4">
      <c r="A535" s="18"/>
      <c r="B535" s="13"/>
      <c r="C535" s="22"/>
      <c r="D535" s="13"/>
    </row>
    <row r="536" spans="1:4">
      <c r="A536" s="18"/>
      <c r="B536" s="13"/>
      <c r="C536" s="22"/>
      <c r="D536" s="13"/>
    </row>
    <row r="537" spans="1:4">
      <c r="A537" s="18"/>
      <c r="B537" s="13"/>
      <c r="C537" s="22"/>
      <c r="D537" s="13"/>
    </row>
    <row r="538" spans="1:4">
      <c r="A538" s="18"/>
      <c r="B538" s="13"/>
      <c r="C538" s="22"/>
      <c r="D538" s="13"/>
    </row>
    <row r="539" spans="1:4">
      <c r="A539" s="18"/>
      <c r="B539" s="13"/>
      <c r="C539" s="22"/>
      <c r="D539" s="13"/>
    </row>
    <row r="540" spans="1:4">
      <c r="A540" s="18"/>
      <c r="B540" s="13"/>
      <c r="C540" s="22"/>
      <c r="D540" s="13"/>
    </row>
    <row r="541" spans="1:4">
      <c r="A541" s="18"/>
      <c r="B541" s="13"/>
      <c r="C541" s="22"/>
      <c r="D541" s="13"/>
    </row>
    <row r="542" spans="1:4">
      <c r="A542" s="18"/>
      <c r="B542" s="13"/>
      <c r="C542" s="22"/>
      <c r="D542" s="13"/>
    </row>
    <row r="543" spans="1:4">
      <c r="A543" s="18"/>
      <c r="B543" s="13"/>
      <c r="C543" s="22"/>
      <c r="D543" s="13"/>
    </row>
    <row r="544" spans="1:4">
      <c r="A544" s="18"/>
      <c r="B544" s="13"/>
      <c r="C544" s="22"/>
      <c r="D544" s="13"/>
    </row>
    <row r="545" spans="1:4">
      <c r="A545" s="18"/>
      <c r="B545" s="13"/>
      <c r="C545" s="22"/>
      <c r="D545" s="13"/>
    </row>
    <row r="546" spans="1:4">
      <c r="A546" s="18"/>
      <c r="B546" s="13"/>
      <c r="C546" s="22"/>
      <c r="D546" s="13"/>
    </row>
    <row r="547" spans="1:4">
      <c r="A547" s="18"/>
      <c r="B547" s="13"/>
      <c r="C547" s="22"/>
      <c r="D547" s="13"/>
    </row>
    <row r="548" spans="1:4">
      <c r="A548" s="18"/>
      <c r="B548" s="13"/>
      <c r="C548" s="22"/>
      <c r="D548" s="13"/>
    </row>
    <row r="549" spans="1:4">
      <c r="A549" s="18"/>
      <c r="B549" s="13"/>
      <c r="C549" s="22"/>
      <c r="D549" s="13"/>
    </row>
    <row r="550" spans="1:4">
      <c r="A550" s="18"/>
      <c r="B550" s="13"/>
      <c r="C550" s="22"/>
      <c r="D550" s="13"/>
    </row>
    <row r="551" spans="1:4">
      <c r="A551" s="18"/>
      <c r="B551" s="13"/>
      <c r="C551" s="22"/>
      <c r="D551" s="13"/>
    </row>
    <row r="552" spans="1:4">
      <c r="A552" s="18"/>
      <c r="B552" s="13"/>
      <c r="C552" s="22"/>
      <c r="D552" s="13"/>
    </row>
    <row r="553" spans="1:4">
      <c r="A553" s="18"/>
      <c r="B553" s="13"/>
      <c r="C553" s="22"/>
      <c r="D553" s="13"/>
    </row>
    <row r="554" spans="1:4">
      <c r="A554" s="18"/>
      <c r="B554" s="13"/>
      <c r="C554" s="22"/>
      <c r="D554" s="13"/>
    </row>
    <row r="555" spans="1:4">
      <c r="A555" s="18"/>
      <c r="B555" s="13"/>
      <c r="C555" s="22"/>
      <c r="D555" s="13"/>
    </row>
    <row r="556" spans="1:4">
      <c r="A556" s="18"/>
      <c r="B556" s="13"/>
      <c r="C556" s="22"/>
      <c r="D556" s="13"/>
    </row>
    <row r="557" spans="1:4">
      <c r="A557" s="18"/>
      <c r="B557" s="13"/>
      <c r="C557" s="22"/>
      <c r="D557" s="13"/>
    </row>
    <row r="558" spans="1:4">
      <c r="A558" s="18"/>
      <c r="B558" s="13"/>
      <c r="C558" s="22"/>
      <c r="D558" s="13"/>
    </row>
    <row r="559" spans="1:4">
      <c r="A559" s="18"/>
      <c r="B559" s="13"/>
      <c r="C559" s="22"/>
      <c r="D559" s="13"/>
    </row>
    <row r="560" spans="1:4">
      <c r="A560" s="18"/>
      <c r="B560" s="13"/>
      <c r="C560" s="22"/>
      <c r="D560" s="13"/>
    </row>
    <row r="561" spans="1:4">
      <c r="A561" s="18"/>
      <c r="B561" s="13"/>
      <c r="C561" s="22"/>
      <c r="D561" s="13"/>
    </row>
    <row r="562" spans="1:4">
      <c r="A562" s="18"/>
      <c r="B562" s="13"/>
      <c r="C562" s="22"/>
      <c r="D562" s="13"/>
    </row>
    <row r="563" spans="1:4">
      <c r="A563" s="18"/>
      <c r="B563" s="13"/>
      <c r="C563" s="22"/>
      <c r="D563" s="13"/>
    </row>
    <row r="564" spans="1:4">
      <c r="A564" s="18"/>
      <c r="B564" s="13"/>
      <c r="C564" s="22"/>
      <c r="D564" s="13"/>
    </row>
    <row r="565" spans="1:4">
      <c r="A565" s="18"/>
      <c r="B565" s="13"/>
      <c r="C565" s="22"/>
      <c r="D565" s="13"/>
    </row>
    <row r="566" spans="1:4">
      <c r="A566" s="18"/>
      <c r="B566" s="13"/>
      <c r="C566" s="22"/>
      <c r="D566" s="13"/>
    </row>
    <row r="567" spans="1:4">
      <c r="A567" s="18"/>
      <c r="B567" s="13"/>
      <c r="C567" s="22"/>
      <c r="D567" s="13"/>
    </row>
    <row r="568" spans="1:4">
      <c r="A568" s="18"/>
      <c r="B568" s="13"/>
      <c r="C568" s="22"/>
      <c r="D568" s="13"/>
    </row>
    <row r="569" spans="1:4">
      <c r="A569" s="18"/>
      <c r="B569" s="13"/>
      <c r="C569" s="22"/>
      <c r="D569" s="13"/>
    </row>
    <row r="570" spans="1:4">
      <c r="A570" s="18"/>
      <c r="B570" s="13"/>
      <c r="C570" s="22"/>
      <c r="D570" s="13"/>
    </row>
    <row r="571" spans="1:4">
      <c r="A571" s="18"/>
      <c r="B571" s="13"/>
      <c r="C571" s="22"/>
      <c r="D571" s="13"/>
    </row>
    <row r="572" spans="1:4">
      <c r="A572" s="18"/>
      <c r="B572" s="13"/>
      <c r="C572" s="22"/>
      <c r="D572" s="13"/>
    </row>
    <row r="573" spans="1:4">
      <c r="A573" s="18"/>
      <c r="B573" s="13"/>
      <c r="C573" s="22"/>
      <c r="D573" s="13"/>
    </row>
    <row r="574" spans="1:4">
      <c r="A574" s="18"/>
      <c r="B574" s="13"/>
      <c r="C574" s="22"/>
      <c r="D574" s="13"/>
    </row>
    <row r="575" spans="1:4">
      <c r="A575" s="18"/>
      <c r="B575" s="13"/>
      <c r="C575" s="22"/>
      <c r="D575" s="13"/>
    </row>
    <row r="576" spans="1:4">
      <c r="A576" s="18"/>
      <c r="B576" s="13"/>
      <c r="C576" s="22"/>
      <c r="D576" s="13"/>
    </row>
    <row r="577" spans="1:4">
      <c r="A577" s="18"/>
      <c r="B577" s="13"/>
      <c r="C577" s="22"/>
      <c r="D577" s="13"/>
    </row>
    <row r="578" spans="1:4">
      <c r="A578" s="18"/>
      <c r="B578" s="13"/>
      <c r="C578" s="22"/>
      <c r="D578" s="13"/>
    </row>
    <row r="579" spans="1:4">
      <c r="A579" s="18"/>
      <c r="B579" s="13"/>
      <c r="C579" s="22"/>
      <c r="D579" s="13"/>
    </row>
    <row r="580" spans="1:4">
      <c r="A580" s="18"/>
      <c r="B580" s="13"/>
      <c r="C580" s="22"/>
      <c r="D580" s="13"/>
    </row>
    <row r="581" spans="1:4">
      <c r="A581" s="18"/>
      <c r="B581" s="13"/>
      <c r="C581" s="22"/>
      <c r="D581" s="13"/>
    </row>
    <row r="582" spans="1:4">
      <c r="A582" s="18"/>
      <c r="B582" s="13"/>
      <c r="C582" s="22"/>
      <c r="D582" s="13"/>
    </row>
    <row r="583" spans="1:4">
      <c r="A583" s="18"/>
      <c r="B583" s="13"/>
      <c r="C583" s="22"/>
      <c r="D583" s="13"/>
    </row>
    <row r="584" spans="1:4">
      <c r="A584" s="18"/>
      <c r="B584" s="13"/>
      <c r="C584" s="22"/>
      <c r="D584" s="13"/>
    </row>
    <row r="585" spans="1:4">
      <c r="A585" s="18"/>
      <c r="B585" s="13"/>
      <c r="C585" s="22"/>
      <c r="D585" s="13"/>
    </row>
    <row r="586" spans="1:4">
      <c r="A586" s="18"/>
      <c r="B586" s="13"/>
      <c r="C586" s="22"/>
      <c r="D586" s="13"/>
    </row>
    <row r="587" spans="1:4">
      <c r="A587" s="18"/>
      <c r="B587" s="13"/>
      <c r="C587" s="22"/>
      <c r="D587" s="13"/>
    </row>
    <row r="588" spans="1:4">
      <c r="A588" s="18"/>
      <c r="B588" s="13"/>
      <c r="C588" s="22"/>
      <c r="D588" s="13"/>
    </row>
    <row r="589" spans="1:4">
      <c r="A589" s="18"/>
      <c r="B589" s="13"/>
      <c r="C589" s="22"/>
      <c r="D589" s="13"/>
    </row>
    <row r="590" spans="1:4">
      <c r="A590" s="18"/>
      <c r="B590" s="13"/>
      <c r="C590" s="22"/>
      <c r="D590" s="13"/>
    </row>
    <row r="591" spans="1:4">
      <c r="A591" s="18"/>
      <c r="B591" s="13"/>
      <c r="C591" s="22"/>
      <c r="D591" s="13"/>
    </row>
    <row r="592" spans="1:4">
      <c r="A592" s="18"/>
      <c r="B592" s="13"/>
      <c r="C592" s="22"/>
      <c r="D592" s="13"/>
    </row>
    <row r="593" spans="1:4">
      <c r="A593" s="18"/>
      <c r="B593" s="13"/>
      <c r="C593" s="22"/>
      <c r="D593" s="13"/>
    </row>
    <row r="594" spans="1:4">
      <c r="A594" s="18"/>
      <c r="B594" s="13"/>
      <c r="C594" s="22"/>
      <c r="D594" s="13"/>
    </row>
    <row r="595" spans="1:4">
      <c r="A595" s="18"/>
      <c r="B595" s="13"/>
      <c r="C595" s="22"/>
      <c r="D595" s="13"/>
    </row>
    <row r="596" spans="1:4">
      <c r="A596" s="18"/>
      <c r="B596" s="13"/>
      <c r="C596" s="22"/>
      <c r="D596" s="13"/>
    </row>
    <row r="597" spans="1:4">
      <c r="A597" s="18"/>
      <c r="B597" s="13"/>
      <c r="C597" s="22"/>
      <c r="D597" s="13"/>
    </row>
    <row r="598" spans="1:4">
      <c r="A598" s="18"/>
      <c r="B598" s="13"/>
      <c r="C598" s="22"/>
      <c r="D598" s="13"/>
    </row>
    <row r="599" spans="1:4">
      <c r="A599" s="18"/>
      <c r="B599" s="13"/>
      <c r="C599" s="22"/>
      <c r="D599" s="13"/>
    </row>
    <row r="600" spans="1:4">
      <c r="A600" s="18"/>
      <c r="B600" s="13"/>
      <c r="C600" s="22"/>
      <c r="D600" s="13"/>
    </row>
    <row r="601" spans="1:4">
      <c r="A601" s="18"/>
      <c r="B601" s="13"/>
      <c r="C601" s="22"/>
      <c r="D601" s="13"/>
    </row>
    <row r="602" spans="1:4">
      <c r="A602" s="18"/>
      <c r="B602" s="13"/>
      <c r="C602" s="22"/>
      <c r="D602" s="13"/>
    </row>
    <row r="603" spans="1:4">
      <c r="A603" s="18"/>
      <c r="B603" s="13"/>
      <c r="C603" s="22"/>
      <c r="D603" s="13"/>
    </row>
    <row r="604" spans="1:4">
      <c r="A604" s="18"/>
      <c r="B604" s="13"/>
      <c r="C604" s="22"/>
      <c r="D604" s="13"/>
    </row>
    <row r="605" spans="1:4">
      <c r="A605" s="18"/>
      <c r="B605" s="13"/>
      <c r="C605" s="22"/>
      <c r="D605" s="13"/>
    </row>
    <row r="606" spans="1:4">
      <c r="A606" s="18"/>
      <c r="B606" s="13"/>
      <c r="C606" s="22"/>
      <c r="D606" s="13"/>
    </row>
    <row r="607" spans="1:4">
      <c r="A607" s="18"/>
      <c r="B607" s="13"/>
      <c r="C607" s="22"/>
      <c r="D607" s="13"/>
    </row>
    <row r="608" spans="1:4">
      <c r="A608" s="18"/>
      <c r="B608" s="13"/>
      <c r="C608" s="22"/>
      <c r="D608" s="13"/>
    </row>
    <row r="609" spans="1:4">
      <c r="A609" s="18"/>
      <c r="B609" s="13"/>
      <c r="C609" s="22"/>
      <c r="D609" s="13"/>
    </row>
    <row r="610" spans="1:4">
      <c r="A610" s="18"/>
      <c r="B610" s="13"/>
      <c r="C610" s="22"/>
      <c r="D610" s="13"/>
    </row>
    <row r="611" spans="1:4">
      <c r="A611" s="18"/>
      <c r="B611" s="13"/>
      <c r="C611" s="22"/>
      <c r="D611" s="13"/>
    </row>
    <row r="612" spans="1:4">
      <c r="A612" s="18"/>
      <c r="B612" s="13"/>
      <c r="C612" s="22"/>
      <c r="D612" s="13"/>
    </row>
    <row r="613" spans="1:4">
      <c r="A613" s="18"/>
      <c r="B613" s="13"/>
      <c r="C613" s="22"/>
      <c r="D613" s="13"/>
    </row>
    <row r="614" spans="1:4">
      <c r="A614" s="18"/>
      <c r="B614" s="13"/>
      <c r="C614" s="22"/>
      <c r="D614" s="13"/>
    </row>
    <row r="615" spans="1:4">
      <c r="A615" s="18"/>
      <c r="B615" s="13"/>
      <c r="C615" s="22"/>
      <c r="D615" s="13"/>
    </row>
    <row r="616" spans="1:4">
      <c r="A616" s="18"/>
      <c r="B616" s="13"/>
      <c r="C616" s="22"/>
      <c r="D616" s="13"/>
    </row>
    <row r="617" spans="1:4">
      <c r="A617" s="18"/>
      <c r="B617" s="13"/>
      <c r="C617" s="22"/>
      <c r="D617" s="13"/>
    </row>
    <row r="618" spans="1:4">
      <c r="A618" s="18"/>
      <c r="B618" s="13"/>
      <c r="C618" s="22"/>
      <c r="D618" s="13"/>
    </row>
    <row r="619" spans="1:4">
      <c r="A619" s="18"/>
      <c r="B619" s="13"/>
      <c r="C619" s="22"/>
      <c r="D619" s="13"/>
    </row>
    <row r="620" spans="1:4">
      <c r="A620" s="18"/>
      <c r="B620" s="13"/>
      <c r="C620" s="22"/>
      <c r="D620" s="13"/>
    </row>
    <row r="621" spans="1:4">
      <c r="A621" s="18"/>
      <c r="B621" s="13"/>
      <c r="C621" s="22"/>
      <c r="D621" s="13"/>
    </row>
    <row r="622" spans="1:4">
      <c r="A622" s="18"/>
      <c r="B622" s="13"/>
      <c r="C622" s="22"/>
      <c r="D622" s="13"/>
    </row>
    <row r="623" spans="1:4">
      <c r="A623" s="18"/>
      <c r="B623" s="13"/>
      <c r="C623" s="22"/>
      <c r="D623" s="13"/>
    </row>
    <row r="624" spans="1:4">
      <c r="A624" s="18"/>
      <c r="B624" s="13"/>
      <c r="C624" s="22"/>
      <c r="D624" s="13"/>
    </row>
    <row r="625" spans="1:4">
      <c r="A625" s="18"/>
      <c r="B625" s="13"/>
      <c r="C625" s="22"/>
      <c r="D625" s="13"/>
    </row>
    <row r="626" spans="1:4">
      <c r="A626" s="18"/>
      <c r="B626" s="13"/>
      <c r="C626" s="22"/>
      <c r="D626" s="13"/>
    </row>
    <row r="627" spans="1:4">
      <c r="A627" s="18"/>
      <c r="B627" s="13"/>
      <c r="C627" s="22"/>
      <c r="D627" s="13"/>
    </row>
    <row r="628" spans="1:4">
      <c r="A628" s="18"/>
      <c r="B628" s="13"/>
      <c r="C628" s="22"/>
      <c r="D628" s="13"/>
    </row>
    <row r="629" spans="1:4">
      <c r="A629" s="18"/>
      <c r="B629" s="13"/>
      <c r="C629" s="22"/>
      <c r="D629" s="13"/>
    </row>
    <row r="630" spans="1:4">
      <c r="A630" s="18"/>
      <c r="B630" s="13"/>
      <c r="C630" s="22"/>
      <c r="D630" s="13"/>
    </row>
    <row r="631" spans="1:4">
      <c r="A631" s="18"/>
      <c r="B631" s="13"/>
      <c r="C631" s="22"/>
      <c r="D631" s="13"/>
    </row>
    <row r="632" spans="1:4">
      <c r="A632" s="18"/>
      <c r="B632" s="13"/>
      <c r="C632" s="22"/>
      <c r="D632" s="13"/>
    </row>
    <row r="633" spans="1:4">
      <c r="A633" s="18"/>
      <c r="B633" s="13"/>
      <c r="C633" s="22"/>
      <c r="D633" s="13"/>
    </row>
    <row r="634" spans="1:4">
      <c r="A634" s="18"/>
      <c r="B634" s="13"/>
      <c r="C634" s="22"/>
      <c r="D634" s="13"/>
    </row>
    <row r="635" spans="1:4">
      <c r="A635" s="18"/>
      <c r="B635" s="13"/>
      <c r="C635" s="22"/>
      <c r="D635" s="13"/>
    </row>
    <row r="636" spans="1:4">
      <c r="A636" s="18"/>
      <c r="B636" s="13"/>
      <c r="C636" s="22"/>
      <c r="D636" s="13"/>
    </row>
    <row r="637" spans="1:4">
      <c r="A637" s="18"/>
      <c r="B637" s="13"/>
      <c r="C637" s="22"/>
      <c r="D637" s="13"/>
    </row>
    <row r="638" spans="1:4">
      <c r="A638" s="18"/>
      <c r="B638" s="13"/>
      <c r="C638" s="22"/>
      <c r="D638" s="13"/>
    </row>
    <row r="639" spans="1:4">
      <c r="A639" s="18"/>
      <c r="B639" s="13"/>
      <c r="C639" s="22"/>
      <c r="D639" s="13"/>
    </row>
    <row r="640" spans="1:4">
      <c r="A640" s="18"/>
      <c r="B640" s="13"/>
      <c r="C640" s="22"/>
      <c r="D640" s="13"/>
    </row>
    <row r="641" spans="1:4">
      <c r="A641" s="18"/>
      <c r="B641" s="13"/>
      <c r="C641" s="22"/>
      <c r="D641" s="13"/>
    </row>
    <row r="642" spans="1:4">
      <c r="A642" s="18"/>
      <c r="B642" s="13"/>
      <c r="C642" s="22"/>
      <c r="D642" s="13"/>
    </row>
    <row r="643" spans="1:4">
      <c r="A643" s="18"/>
      <c r="B643" s="13"/>
      <c r="C643" s="22"/>
      <c r="D643" s="13"/>
    </row>
    <row r="644" spans="1:4">
      <c r="A644" s="18"/>
      <c r="B644" s="13"/>
      <c r="C644" s="22"/>
      <c r="D644" s="13"/>
    </row>
    <row r="645" spans="1:4">
      <c r="A645" s="18"/>
      <c r="B645" s="13"/>
      <c r="C645" s="22"/>
      <c r="D645" s="13"/>
    </row>
    <row r="646" spans="1:4">
      <c r="A646" s="18"/>
      <c r="B646" s="13"/>
      <c r="C646" s="22"/>
      <c r="D646" s="13"/>
    </row>
    <row r="647" spans="1:4">
      <c r="A647" s="18"/>
      <c r="B647" s="13"/>
      <c r="C647" s="22"/>
      <c r="D647" s="13"/>
    </row>
    <row r="648" spans="1:4">
      <c r="A648" s="18"/>
      <c r="B648" s="13"/>
      <c r="C648" s="22"/>
      <c r="D648" s="13"/>
    </row>
    <row r="649" spans="1:4">
      <c r="A649" s="18"/>
      <c r="B649" s="13"/>
      <c r="C649" s="22"/>
      <c r="D649" s="13"/>
    </row>
    <row r="650" spans="1:4">
      <c r="A650" s="18"/>
      <c r="B650" s="13"/>
      <c r="C650" s="22"/>
      <c r="D650" s="13"/>
    </row>
    <row r="651" spans="1:4">
      <c r="A651" s="18"/>
      <c r="B651" s="13"/>
      <c r="C651" s="22"/>
      <c r="D651" s="13"/>
    </row>
    <row r="652" spans="1:4">
      <c r="A652" s="18"/>
      <c r="B652" s="13"/>
      <c r="C652" s="22"/>
      <c r="D652" s="13"/>
    </row>
    <row r="653" spans="1:4">
      <c r="A653" s="18"/>
      <c r="B653" s="13"/>
      <c r="C653" s="22"/>
      <c r="D653" s="13"/>
    </row>
    <row r="654" spans="1:4">
      <c r="A654" s="18"/>
      <c r="B654" s="13"/>
      <c r="C654" s="22"/>
      <c r="D654" s="13"/>
    </row>
    <row r="655" spans="1:4">
      <c r="A655" s="18"/>
      <c r="B655" s="13"/>
      <c r="C655" s="22"/>
      <c r="D655" s="13"/>
    </row>
    <row r="656" spans="1:4">
      <c r="A656" s="18"/>
      <c r="B656" s="13"/>
      <c r="C656" s="22"/>
      <c r="D656" s="13"/>
    </row>
    <row r="657" spans="1:4">
      <c r="A657" s="18"/>
      <c r="B657" s="13"/>
      <c r="C657" s="22"/>
      <c r="D657" s="13"/>
    </row>
    <row r="658" spans="1:4">
      <c r="A658" s="18"/>
      <c r="B658" s="13"/>
      <c r="C658" s="22"/>
      <c r="D658" s="13"/>
    </row>
    <row r="659" spans="1:4">
      <c r="A659" s="18"/>
      <c r="B659" s="13"/>
      <c r="C659" s="22"/>
      <c r="D659" s="13"/>
    </row>
    <row r="660" spans="1:4">
      <c r="A660" s="18"/>
      <c r="B660" s="13"/>
      <c r="C660" s="22"/>
      <c r="D660" s="13"/>
    </row>
    <row r="661" spans="1:4">
      <c r="A661" s="18"/>
      <c r="B661" s="13"/>
      <c r="C661" s="22"/>
      <c r="D661" s="13"/>
    </row>
    <row r="662" spans="1:4">
      <c r="A662" s="18"/>
      <c r="B662" s="13"/>
      <c r="C662" s="22"/>
      <c r="D662" s="13"/>
    </row>
    <row r="663" spans="1:4">
      <c r="A663" s="18"/>
      <c r="B663" s="13"/>
      <c r="C663" s="22"/>
      <c r="D663" s="13"/>
    </row>
    <row r="664" spans="1:4">
      <c r="A664" s="18"/>
      <c r="B664" s="13"/>
      <c r="C664" s="22"/>
      <c r="D664" s="13"/>
    </row>
    <row r="665" spans="1:4">
      <c r="A665" s="18"/>
      <c r="B665" s="13"/>
      <c r="C665" s="22"/>
      <c r="D665" s="13"/>
    </row>
    <row r="666" spans="1:4">
      <c r="A666" s="18"/>
      <c r="B666" s="13"/>
      <c r="C666" s="22"/>
      <c r="D666" s="13"/>
    </row>
    <row r="667" spans="1:4">
      <c r="A667" s="18"/>
      <c r="B667" s="13"/>
      <c r="C667" s="22"/>
      <c r="D667" s="13"/>
    </row>
    <row r="668" spans="1:4">
      <c r="A668" s="18"/>
      <c r="B668" s="13"/>
      <c r="C668" s="22"/>
      <c r="D668" s="13"/>
    </row>
    <row r="669" spans="1:4">
      <c r="A669" s="18"/>
      <c r="B669" s="13"/>
      <c r="C669" s="22"/>
      <c r="D669" s="13"/>
    </row>
    <row r="670" spans="1:4">
      <c r="A670" s="18"/>
      <c r="B670" s="13"/>
      <c r="C670" s="22"/>
      <c r="D670" s="13"/>
    </row>
    <row r="671" spans="1:4">
      <c r="A671" s="18"/>
      <c r="B671" s="13"/>
      <c r="C671" s="22"/>
      <c r="D671" s="13"/>
    </row>
    <row r="672" spans="1:4">
      <c r="A672" s="18"/>
      <c r="B672" s="13"/>
      <c r="C672" s="22"/>
      <c r="D672" s="13"/>
    </row>
    <row r="673" spans="1:4">
      <c r="A673" s="18"/>
      <c r="B673" s="13"/>
      <c r="C673" s="22"/>
      <c r="D673" s="13"/>
    </row>
    <row r="674" spans="1:4">
      <c r="A674" s="18"/>
      <c r="B674" s="13"/>
      <c r="C674" s="22"/>
      <c r="D674" s="13"/>
    </row>
    <row r="675" spans="1:4">
      <c r="A675" s="18"/>
      <c r="B675" s="13"/>
      <c r="C675" s="22"/>
      <c r="D675" s="13"/>
    </row>
    <row r="676" spans="1:4">
      <c r="A676" s="18"/>
      <c r="B676" s="13"/>
      <c r="C676" s="22"/>
      <c r="D676" s="13"/>
    </row>
    <row r="677" spans="1:4">
      <c r="A677" s="18"/>
      <c r="B677" s="13"/>
      <c r="C677" s="22"/>
      <c r="D677" s="13"/>
    </row>
    <row r="678" spans="1:4">
      <c r="A678" s="18"/>
      <c r="B678" s="13"/>
      <c r="C678" s="22"/>
      <c r="D678" s="13"/>
    </row>
    <row r="679" spans="1:4">
      <c r="A679" s="18"/>
      <c r="B679" s="13"/>
      <c r="C679" s="22"/>
      <c r="D679" s="13"/>
    </row>
    <row r="680" spans="1:4">
      <c r="A680" s="18"/>
      <c r="B680" s="13"/>
      <c r="C680" s="22"/>
      <c r="D680" s="13"/>
    </row>
    <row r="681" spans="1:4">
      <c r="A681" s="18"/>
      <c r="B681" s="13"/>
      <c r="C681" s="22"/>
      <c r="D681" s="13"/>
    </row>
    <row r="682" spans="1:4">
      <c r="A682" s="18"/>
      <c r="B682" s="13"/>
      <c r="C682" s="22"/>
      <c r="D682" s="13"/>
    </row>
    <row r="683" spans="1:4">
      <c r="A683" s="18"/>
      <c r="B683" s="13"/>
      <c r="C683" s="22"/>
      <c r="D683" s="13"/>
    </row>
    <row r="684" spans="1:4">
      <c r="A684" s="18"/>
      <c r="B684" s="13"/>
      <c r="C684" s="22"/>
      <c r="D684" s="13"/>
    </row>
    <row r="685" spans="1:4">
      <c r="A685" s="18"/>
      <c r="B685" s="13"/>
      <c r="C685" s="22"/>
      <c r="D685" s="13"/>
    </row>
    <row r="686" spans="1:4">
      <c r="A686" s="18"/>
      <c r="B686" s="13"/>
      <c r="C686" s="22"/>
      <c r="D686" s="13"/>
    </row>
    <row r="687" spans="1:4">
      <c r="A687" s="18"/>
      <c r="B687" s="13"/>
      <c r="C687" s="22"/>
      <c r="D687" s="13"/>
    </row>
    <row r="688" spans="1:4">
      <c r="A688" s="18"/>
      <c r="B688" s="13"/>
      <c r="C688" s="22"/>
      <c r="D688" s="13"/>
    </row>
    <row r="689" spans="1:4">
      <c r="A689" s="18"/>
      <c r="B689" s="13"/>
      <c r="C689" s="22"/>
      <c r="D689" s="13"/>
    </row>
    <row r="690" spans="1:4">
      <c r="A690" s="18"/>
      <c r="B690" s="13"/>
      <c r="C690" s="22"/>
      <c r="D690" s="13"/>
    </row>
    <row r="691" spans="1:4">
      <c r="A691" s="18"/>
      <c r="B691" s="13"/>
      <c r="C691" s="22"/>
      <c r="D691" s="13"/>
    </row>
    <row r="692" spans="1:4">
      <c r="A692" s="18"/>
      <c r="B692" s="13"/>
      <c r="C692" s="22"/>
      <c r="D692" s="13"/>
    </row>
    <row r="693" spans="1:4">
      <c r="A693" s="18"/>
      <c r="B693" s="13"/>
      <c r="C693" s="22"/>
      <c r="D693" s="13"/>
    </row>
    <row r="694" spans="1:4">
      <c r="A694" s="18"/>
      <c r="B694" s="13"/>
      <c r="C694" s="22"/>
      <c r="D694" s="13"/>
    </row>
    <row r="695" spans="1:4">
      <c r="A695" s="18"/>
      <c r="B695" s="13"/>
      <c r="C695" s="22"/>
      <c r="D695" s="13"/>
    </row>
    <row r="696" spans="1:4">
      <c r="A696" s="18"/>
      <c r="B696" s="13"/>
      <c r="C696" s="22"/>
      <c r="D696" s="13"/>
    </row>
    <row r="697" spans="1:4">
      <c r="A697" s="18"/>
      <c r="B697" s="13"/>
      <c r="C697" s="22"/>
      <c r="D697" s="13"/>
    </row>
    <row r="698" spans="1:4">
      <c r="A698" s="18"/>
      <c r="B698" s="13"/>
      <c r="C698" s="22"/>
      <c r="D698" s="13"/>
    </row>
    <row r="699" spans="1:4">
      <c r="A699" s="18"/>
      <c r="B699" s="13"/>
      <c r="C699" s="22"/>
      <c r="D699" s="13"/>
    </row>
    <row r="700" spans="1:4">
      <c r="A700" s="18"/>
      <c r="B700" s="13"/>
      <c r="C700" s="22"/>
      <c r="D700" s="13"/>
    </row>
    <row r="701" spans="1:4">
      <c r="A701" s="18"/>
      <c r="B701" s="13"/>
      <c r="C701" s="22"/>
      <c r="D701" s="13"/>
    </row>
    <row r="702" spans="1:4">
      <c r="A702" s="18"/>
      <c r="B702" s="13"/>
      <c r="C702" s="22"/>
      <c r="D702" s="13"/>
    </row>
    <row r="703" spans="1:4">
      <c r="A703" s="18"/>
      <c r="B703" s="13"/>
      <c r="C703" s="22"/>
      <c r="D703" s="13"/>
    </row>
    <row r="704" spans="1:4">
      <c r="A704" s="18"/>
      <c r="B704" s="13"/>
      <c r="C704" s="22"/>
      <c r="D704" s="13"/>
    </row>
    <row r="705" spans="1:4">
      <c r="A705" s="18"/>
      <c r="B705" s="13"/>
      <c r="C705" s="22"/>
      <c r="D705" s="13"/>
    </row>
    <row r="706" spans="1:4">
      <c r="A706" s="18"/>
      <c r="B706" s="13"/>
      <c r="C706" s="22"/>
      <c r="D706" s="13"/>
    </row>
    <row r="707" spans="1:4">
      <c r="A707" s="18"/>
      <c r="B707" s="13"/>
      <c r="C707" s="22"/>
      <c r="D707" s="13"/>
    </row>
    <row r="708" spans="1:4">
      <c r="A708" s="18"/>
      <c r="B708" s="13"/>
      <c r="C708" s="22"/>
      <c r="D708" s="13"/>
    </row>
    <row r="709" spans="1:4">
      <c r="A709" s="18"/>
      <c r="B709" s="13"/>
      <c r="C709" s="22"/>
      <c r="D709" s="13"/>
    </row>
    <row r="710" spans="1:4">
      <c r="A710" s="18"/>
      <c r="B710" s="13"/>
      <c r="C710" s="22"/>
      <c r="D710" s="13"/>
    </row>
    <row r="711" spans="1:4">
      <c r="A711" s="18"/>
      <c r="B711" s="13"/>
      <c r="C711" s="22"/>
      <c r="D711" s="13"/>
    </row>
    <row r="712" spans="1:4">
      <c r="A712" s="18"/>
      <c r="B712" s="13"/>
      <c r="C712" s="22"/>
      <c r="D712" s="13"/>
    </row>
    <row r="713" spans="1:4">
      <c r="A713" s="18"/>
      <c r="B713" s="13"/>
      <c r="C713" s="22"/>
      <c r="D713" s="13"/>
    </row>
    <row r="714" spans="1:4">
      <c r="A714" s="18"/>
      <c r="B714" s="13"/>
      <c r="C714" s="22"/>
      <c r="D714" s="13"/>
    </row>
    <row r="715" spans="1:4">
      <c r="A715" s="18"/>
      <c r="B715" s="13"/>
      <c r="C715" s="22"/>
      <c r="D715" s="13"/>
    </row>
    <row r="716" spans="1:4">
      <c r="A716" s="18"/>
      <c r="B716" s="13"/>
      <c r="C716" s="22"/>
      <c r="D716" s="13"/>
    </row>
    <row r="717" spans="1:4">
      <c r="A717" s="18"/>
      <c r="B717" s="13"/>
      <c r="C717" s="22"/>
      <c r="D717" s="13"/>
    </row>
    <row r="718" spans="1:4">
      <c r="A718" s="18"/>
      <c r="B718" s="13"/>
      <c r="C718" s="22"/>
      <c r="D718" s="13"/>
    </row>
    <row r="719" spans="1:4">
      <c r="A719" s="18"/>
      <c r="B719" s="13"/>
      <c r="C719" s="22"/>
      <c r="D719" s="13"/>
    </row>
    <row r="720" spans="1:4">
      <c r="A720" s="18"/>
      <c r="B720" s="13"/>
      <c r="C720" s="22"/>
      <c r="D720" s="13"/>
    </row>
    <row r="721" spans="1:4">
      <c r="A721" s="18"/>
      <c r="B721" s="13"/>
      <c r="C721" s="22"/>
      <c r="D721" s="13"/>
    </row>
    <row r="722" spans="1:4">
      <c r="A722" s="18"/>
      <c r="B722" s="13"/>
      <c r="C722" s="22"/>
      <c r="D722" s="13"/>
    </row>
    <row r="723" spans="1:4">
      <c r="A723" s="18"/>
      <c r="B723" s="13"/>
      <c r="C723" s="22"/>
      <c r="D723" s="13"/>
    </row>
    <row r="724" spans="1:4">
      <c r="A724" s="18"/>
      <c r="B724" s="13"/>
      <c r="C724" s="22"/>
      <c r="D724" s="13"/>
    </row>
    <row r="725" spans="1:4">
      <c r="A725" s="18"/>
      <c r="B725" s="13"/>
      <c r="C725" s="22"/>
      <c r="D725" s="13"/>
    </row>
    <row r="726" spans="1:4">
      <c r="A726" s="18"/>
      <c r="B726" s="13"/>
      <c r="C726" s="22"/>
      <c r="D726" s="13"/>
    </row>
    <row r="727" spans="1:4">
      <c r="A727" s="18"/>
      <c r="B727" s="13"/>
      <c r="C727" s="22"/>
      <c r="D727" s="13"/>
    </row>
    <row r="728" spans="1:4">
      <c r="A728" s="18"/>
      <c r="B728" s="13"/>
      <c r="C728" s="22"/>
      <c r="D728" s="13"/>
    </row>
    <row r="729" spans="1:4">
      <c r="A729" s="18"/>
      <c r="B729" s="13"/>
      <c r="C729" s="22"/>
      <c r="D729" s="13"/>
    </row>
    <row r="730" spans="1:4">
      <c r="A730" s="18"/>
      <c r="B730" s="13"/>
      <c r="C730" s="22"/>
      <c r="D730" s="13"/>
    </row>
    <row r="731" spans="1:4">
      <c r="A731" s="18"/>
      <c r="B731" s="13"/>
      <c r="C731" s="22"/>
      <c r="D731" s="13"/>
    </row>
    <row r="732" spans="1:4">
      <c r="A732" s="18"/>
      <c r="B732" s="13"/>
      <c r="C732" s="22"/>
      <c r="D732" s="13"/>
    </row>
    <row r="733" spans="1:4">
      <c r="A733" s="18"/>
      <c r="B733" s="13"/>
      <c r="C733" s="22"/>
      <c r="D733" s="13"/>
    </row>
    <row r="734" spans="1:4">
      <c r="A734" s="18"/>
      <c r="B734" s="13"/>
      <c r="C734" s="22"/>
      <c r="D734" s="13"/>
    </row>
    <row r="735" spans="1:4">
      <c r="A735" s="18"/>
      <c r="B735" s="13"/>
      <c r="C735" s="22"/>
      <c r="D735" s="13"/>
    </row>
    <row r="736" spans="1:4">
      <c r="A736" s="18"/>
      <c r="B736" s="13"/>
      <c r="C736" s="22"/>
      <c r="D736" s="13"/>
    </row>
    <row r="737" spans="1:4">
      <c r="A737" s="18"/>
      <c r="B737" s="13"/>
      <c r="C737" s="22"/>
      <c r="D737" s="13"/>
    </row>
    <row r="738" spans="1:4">
      <c r="A738" s="18"/>
      <c r="B738" s="13"/>
      <c r="C738" s="22"/>
      <c r="D738" s="13"/>
    </row>
    <row r="739" spans="1:4">
      <c r="A739" s="18"/>
      <c r="B739" s="13"/>
      <c r="C739" s="22"/>
      <c r="D739" s="13"/>
    </row>
    <row r="740" spans="1:4">
      <c r="A740" s="18"/>
      <c r="B740" s="13"/>
      <c r="C740" s="22"/>
      <c r="D740" s="13"/>
    </row>
    <row r="741" spans="1:4">
      <c r="A741" s="18"/>
      <c r="B741" s="13"/>
      <c r="C741" s="22"/>
      <c r="D741" s="13"/>
    </row>
    <row r="742" spans="1:4">
      <c r="A742" s="18"/>
      <c r="B742" s="13"/>
      <c r="C742" s="22"/>
      <c r="D742" s="13"/>
    </row>
    <row r="743" spans="1:4">
      <c r="A743" s="18"/>
      <c r="B743" s="13"/>
      <c r="C743" s="22"/>
      <c r="D743" s="13"/>
    </row>
    <row r="744" spans="1:4">
      <c r="A744" s="18"/>
      <c r="B744" s="13"/>
      <c r="C744" s="22"/>
      <c r="D744" s="13"/>
    </row>
    <row r="745" spans="1:4">
      <c r="A745" s="18"/>
      <c r="B745" s="13"/>
      <c r="C745" s="22"/>
      <c r="D745" s="13"/>
    </row>
    <row r="746" spans="1:4">
      <c r="A746" s="18"/>
      <c r="B746" s="13"/>
      <c r="C746" s="22"/>
      <c r="D746" s="13"/>
    </row>
    <row r="747" spans="1:4">
      <c r="A747" s="18"/>
      <c r="B747" s="13"/>
      <c r="C747" s="22"/>
      <c r="D747" s="13"/>
    </row>
    <row r="748" spans="1:4">
      <c r="A748" s="18"/>
      <c r="B748" s="13"/>
      <c r="C748" s="22"/>
      <c r="D748" s="13"/>
    </row>
    <row r="749" spans="1:4">
      <c r="A749" s="18"/>
      <c r="B749" s="13"/>
      <c r="C749" s="22"/>
      <c r="D749" s="13"/>
    </row>
    <row r="750" spans="1:4">
      <c r="A750" s="18"/>
      <c r="B750" s="13"/>
      <c r="C750" s="22"/>
      <c r="D750" s="13"/>
    </row>
    <row r="751" spans="1:4">
      <c r="A751" s="18"/>
      <c r="B751" s="13"/>
      <c r="C751" s="22"/>
      <c r="D751" s="13"/>
    </row>
    <row r="752" spans="1:4">
      <c r="A752" s="18"/>
      <c r="B752" s="13"/>
      <c r="C752" s="22"/>
      <c r="D752" s="13"/>
    </row>
    <row r="753" spans="1:4">
      <c r="A753" s="18"/>
      <c r="B753" s="13"/>
      <c r="C753" s="22"/>
      <c r="D753" s="13"/>
    </row>
    <row r="754" spans="1:4">
      <c r="A754" s="18"/>
      <c r="B754" s="13"/>
      <c r="C754" s="22"/>
      <c r="D754" s="13"/>
    </row>
    <row r="755" spans="1:4">
      <c r="A755" s="18"/>
      <c r="B755" s="13"/>
      <c r="C755" s="22"/>
      <c r="D755" s="13"/>
    </row>
    <row r="756" spans="1:4">
      <c r="A756" s="18"/>
      <c r="B756" s="13"/>
      <c r="C756" s="22"/>
      <c r="D756" s="13"/>
    </row>
    <row r="757" spans="1:4">
      <c r="A757" s="18"/>
      <c r="B757" s="13"/>
      <c r="C757" s="22"/>
      <c r="D757" s="13"/>
    </row>
    <row r="758" spans="1:4">
      <c r="A758" s="18"/>
      <c r="B758" s="13"/>
      <c r="C758" s="22"/>
      <c r="D758" s="13"/>
    </row>
    <row r="759" spans="1:4">
      <c r="A759" s="18"/>
      <c r="B759" s="13"/>
      <c r="C759" s="22"/>
      <c r="D759" s="13"/>
    </row>
    <row r="760" spans="1:4">
      <c r="A760" s="18"/>
      <c r="B760" s="13"/>
      <c r="C760" s="22"/>
      <c r="D760" s="13"/>
    </row>
    <row r="761" spans="1:4">
      <c r="A761" s="18"/>
      <c r="B761" s="13"/>
      <c r="C761" s="22"/>
      <c r="D761" s="13"/>
    </row>
    <row r="762" spans="1:4">
      <c r="A762" s="18"/>
      <c r="B762" s="13"/>
      <c r="C762" s="22"/>
      <c r="D762" s="13"/>
    </row>
    <row r="763" spans="1:4">
      <c r="A763" s="18"/>
      <c r="B763" s="13"/>
      <c r="C763" s="22"/>
      <c r="D763" s="13"/>
    </row>
    <row r="764" spans="1:4">
      <c r="A764" s="18"/>
      <c r="B764" s="13"/>
      <c r="C764" s="22"/>
      <c r="D764" s="13"/>
    </row>
    <row r="765" spans="1:4">
      <c r="A765" s="18"/>
      <c r="B765" s="13"/>
      <c r="C765" s="22"/>
      <c r="D765" s="13"/>
    </row>
    <row r="766" spans="1:4">
      <c r="A766" s="18"/>
      <c r="B766" s="13"/>
      <c r="C766" s="22"/>
      <c r="D766" s="13"/>
    </row>
    <row r="767" spans="1:4">
      <c r="A767" s="18"/>
      <c r="B767" s="13"/>
      <c r="C767" s="22"/>
      <c r="D767" s="13"/>
    </row>
    <row r="768" spans="1:4">
      <c r="A768" s="18"/>
      <c r="B768" s="13"/>
      <c r="C768" s="22"/>
      <c r="D768" s="13"/>
    </row>
    <row r="769" spans="1:4">
      <c r="A769" s="18"/>
      <c r="B769" s="13"/>
      <c r="C769" s="22"/>
      <c r="D769" s="13"/>
    </row>
    <row r="770" spans="1:4">
      <c r="A770" s="18"/>
      <c r="B770" s="13"/>
      <c r="C770" s="22"/>
      <c r="D770" s="13"/>
    </row>
    <row r="771" spans="1:4">
      <c r="A771" s="18"/>
      <c r="B771" s="13"/>
      <c r="C771" s="22"/>
      <c r="D771" s="13"/>
    </row>
    <row r="772" spans="1:4">
      <c r="A772" s="18"/>
      <c r="B772" s="13"/>
      <c r="C772" s="22"/>
      <c r="D772" s="13"/>
    </row>
    <row r="773" spans="1:4">
      <c r="A773" s="18"/>
      <c r="B773" s="13"/>
      <c r="C773" s="22"/>
      <c r="D773" s="13"/>
    </row>
    <row r="774" spans="1:4">
      <c r="A774" s="18"/>
      <c r="B774" s="13"/>
      <c r="C774" s="22"/>
      <c r="D774" s="13"/>
    </row>
    <row r="775" spans="1:4">
      <c r="A775" s="18"/>
      <c r="B775" s="13"/>
      <c r="C775" s="22"/>
      <c r="D775" s="13"/>
    </row>
    <row r="776" spans="1:4">
      <c r="A776" s="18"/>
      <c r="B776" s="13"/>
      <c r="C776" s="22"/>
      <c r="D776" s="13"/>
    </row>
    <row r="777" spans="1:4">
      <c r="A777" s="18"/>
      <c r="B777" s="13"/>
      <c r="C777" s="22"/>
      <c r="D777" s="13"/>
    </row>
    <row r="778" spans="1:4">
      <c r="A778" s="18"/>
      <c r="B778" s="13"/>
      <c r="C778" s="22"/>
      <c r="D778" s="13"/>
    </row>
    <row r="779" spans="1:4">
      <c r="A779" s="18"/>
      <c r="B779" s="13"/>
      <c r="C779" s="22"/>
      <c r="D779" s="13"/>
    </row>
    <row r="780" spans="1:4">
      <c r="A780" s="18"/>
      <c r="B780" s="13"/>
      <c r="C780" s="22"/>
      <c r="D780" s="13"/>
    </row>
    <row r="781" spans="1:4">
      <c r="A781" s="18"/>
      <c r="B781" s="13"/>
      <c r="C781" s="22"/>
      <c r="D781" s="13"/>
    </row>
    <row r="782" spans="1:4">
      <c r="A782" s="18"/>
      <c r="B782" s="13"/>
      <c r="C782" s="22"/>
      <c r="D782" s="13"/>
    </row>
    <row r="783" spans="1:4">
      <c r="A783" s="18"/>
      <c r="B783" s="13"/>
      <c r="C783" s="22"/>
      <c r="D783" s="13"/>
    </row>
    <row r="784" spans="1:4">
      <c r="A784" s="18"/>
      <c r="B784" s="13"/>
      <c r="C784" s="22"/>
      <c r="D784" s="13"/>
    </row>
    <row r="785" spans="1:4">
      <c r="A785" s="18"/>
      <c r="B785" s="13"/>
      <c r="C785" s="22"/>
      <c r="D785" s="13"/>
    </row>
    <row r="786" spans="1:4">
      <c r="A786" s="18"/>
      <c r="B786" s="13"/>
      <c r="C786" s="22"/>
      <c r="D786" s="13"/>
    </row>
    <row r="787" spans="1:4">
      <c r="A787" s="18"/>
      <c r="B787" s="13"/>
      <c r="C787" s="22"/>
      <c r="D787" s="13"/>
    </row>
    <row r="788" spans="1:4">
      <c r="A788" s="18"/>
      <c r="B788" s="13"/>
      <c r="C788" s="22"/>
      <c r="D788" s="13"/>
    </row>
    <row r="789" spans="1:4">
      <c r="A789" s="18"/>
      <c r="B789" s="13"/>
      <c r="C789" s="22"/>
      <c r="D789" s="13"/>
    </row>
    <row r="790" spans="1:4">
      <c r="A790" s="18"/>
      <c r="B790" s="13"/>
      <c r="C790" s="22"/>
      <c r="D790" s="13"/>
    </row>
    <row r="791" spans="1:4">
      <c r="A791" s="18"/>
      <c r="B791" s="13"/>
      <c r="C791" s="22"/>
      <c r="D791" s="13"/>
    </row>
    <row r="792" spans="1:4">
      <c r="A792" s="18"/>
      <c r="B792" s="13"/>
      <c r="C792" s="22"/>
      <c r="D792" s="13"/>
    </row>
    <row r="793" spans="1:4">
      <c r="A793" s="18"/>
      <c r="B793" s="13"/>
      <c r="C793" s="22"/>
      <c r="D793" s="13"/>
    </row>
    <row r="794" spans="1:4">
      <c r="A794" s="18"/>
      <c r="B794" s="13"/>
      <c r="C794" s="22"/>
      <c r="D794" s="13"/>
    </row>
    <row r="795" spans="1:4">
      <c r="A795" s="18"/>
      <c r="B795" s="13"/>
      <c r="C795" s="22"/>
      <c r="D795" s="13"/>
    </row>
    <row r="796" spans="1:4">
      <c r="A796" s="18"/>
      <c r="B796" s="13"/>
      <c r="C796" s="22"/>
      <c r="D796" s="13"/>
    </row>
    <row r="797" spans="1:4">
      <c r="A797" s="18"/>
      <c r="B797" s="13"/>
      <c r="C797" s="22"/>
      <c r="D797" s="13"/>
    </row>
    <row r="798" spans="1:4">
      <c r="A798" s="18"/>
      <c r="B798" s="13"/>
      <c r="C798" s="22"/>
      <c r="D798" s="13"/>
    </row>
    <row r="799" spans="1:4">
      <c r="A799" s="18"/>
      <c r="B799" s="13"/>
      <c r="C799" s="22"/>
      <c r="D799" s="13"/>
    </row>
    <row r="800" spans="1:4">
      <c r="A800" s="18"/>
      <c r="B800" s="13"/>
      <c r="C800" s="22"/>
      <c r="D800" s="13"/>
    </row>
    <row r="801" spans="1:4">
      <c r="A801" s="18"/>
      <c r="B801" s="13"/>
      <c r="C801" s="22"/>
      <c r="D801" s="13"/>
    </row>
    <row r="802" spans="1:4">
      <c r="A802" s="18"/>
      <c r="B802" s="13"/>
      <c r="C802" s="22"/>
      <c r="D802" s="13"/>
    </row>
    <row r="803" spans="1:4">
      <c r="A803" s="18"/>
      <c r="B803" s="13"/>
      <c r="C803" s="22"/>
      <c r="D803" s="13"/>
    </row>
    <row r="804" spans="1:4">
      <c r="A804" s="18"/>
      <c r="B804" s="13"/>
      <c r="C804" s="22"/>
      <c r="D804" s="13"/>
    </row>
    <row r="805" spans="1:4">
      <c r="A805" s="18"/>
      <c r="B805" s="13"/>
      <c r="C805" s="22"/>
      <c r="D805" s="13"/>
    </row>
    <row r="806" spans="1:4">
      <c r="A806" s="18"/>
      <c r="B806" s="13"/>
      <c r="C806" s="22"/>
      <c r="D806" s="13"/>
    </row>
    <row r="807" spans="1:4">
      <c r="A807" s="18"/>
      <c r="B807" s="13"/>
      <c r="C807" s="22"/>
      <c r="D807" s="13"/>
    </row>
    <row r="808" spans="1:4">
      <c r="A808" s="18"/>
      <c r="B808" s="13"/>
      <c r="C808" s="22"/>
      <c r="D808" s="13"/>
    </row>
    <row r="809" spans="1:4">
      <c r="A809" s="18"/>
      <c r="B809" s="13"/>
      <c r="C809" s="22"/>
      <c r="D809" s="13"/>
    </row>
    <row r="810" spans="1:4">
      <c r="A810" s="18"/>
      <c r="B810" s="13"/>
      <c r="C810" s="22"/>
      <c r="D810" s="13"/>
    </row>
    <row r="811" spans="1:4">
      <c r="A811" s="18"/>
      <c r="B811" s="13"/>
      <c r="C811" s="22"/>
      <c r="D811" s="13"/>
    </row>
    <row r="812" spans="1:4">
      <c r="A812" s="18"/>
      <c r="B812" s="13"/>
      <c r="C812" s="22"/>
      <c r="D812" s="13"/>
    </row>
    <row r="813" spans="1:4">
      <c r="A813" s="18"/>
      <c r="B813" s="13"/>
      <c r="C813" s="22"/>
      <c r="D813" s="13"/>
    </row>
    <row r="814" spans="1:4">
      <c r="A814" s="18"/>
      <c r="B814" s="13"/>
      <c r="C814" s="22"/>
      <c r="D814" s="13"/>
    </row>
    <row r="815" spans="1:4">
      <c r="A815" s="18"/>
      <c r="B815" s="13"/>
      <c r="C815" s="22"/>
      <c r="D815" s="13"/>
    </row>
    <row r="816" spans="1:4">
      <c r="A816" s="18"/>
      <c r="B816" s="13"/>
      <c r="C816" s="22"/>
      <c r="D816" s="13"/>
    </row>
    <row r="817" spans="1:4">
      <c r="A817" s="18"/>
      <c r="B817" s="13"/>
      <c r="C817" s="22"/>
      <c r="D817" s="13"/>
    </row>
    <row r="818" spans="1:4">
      <c r="A818" s="18"/>
      <c r="B818" s="13"/>
      <c r="C818" s="22"/>
      <c r="D818" s="13"/>
    </row>
    <row r="819" spans="1:4">
      <c r="A819" s="18"/>
      <c r="B819" s="13"/>
      <c r="C819" s="22"/>
      <c r="D819" s="13"/>
    </row>
    <row r="820" spans="1:4">
      <c r="A820" s="18"/>
      <c r="B820" s="13"/>
      <c r="C820" s="22"/>
      <c r="D820" s="13"/>
    </row>
    <row r="821" spans="1:4">
      <c r="A821" s="18"/>
      <c r="B821" s="13"/>
      <c r="C821" s="22"/>
      <c r="D821" s="13"/>
    </row>
    <row r="822" spans="1:4">
      <c r="A822" s="18"/>
      <c r="B822" s="13"/>
      <c r="C822" s="22"/>
      <c r="D822" s="13"/>
    </row>
    <row r="823" spans="1:4">
      <c r="A823" s="18"/>
      <c r="B823" s="13"/>
      <c r="C823" s="22"/>
      <c r="D823" s="13"/>
    </row>
    <row r="824" spans="1:4">
      <c r="A824" s="18"/>
      <c r="B824" s="13"/>
      <c r="C824" s="22"/>
      <c r="D824" s="13"/>
    </row>
    <row r="825" spans="1:4">
      <c r="A825" s="18"/>
      <c r="B825" s="13"/>
      <c r="C825" s="22"/>
      <c r="D825" s="13"/>
    </row>
    <row r="826" spans="1:4">
      <c r="A826" s="18"/>
      <c r="B826" s="13"/>
      <c r="C826" s="22"/>
      <c r="D826" s="13"/>
    </row>
    <row r="827" spans="1:4">
      <c r="A827" s="18"/>
      <c r="B827" s="13"/>
      <c r="C827" s="22"/>
      <c r="D827" s="13"/>
    </row>
    <row r="828" spans="1:4">
      <c r="A828" s="18"/>
      <c r="B828" s="13"/>
      <c r="C828" s="22"/>
      <c r="D828" s="13"/>
    </row>
    <row r="829" spans="1:4">
      <c r="A829" s="18"/>
      <c r="B829" s="13"/>
      <c r="C829" s="22"/>
      <c r="D829" s="13"/>
    </row>
    <row r="830" spans="1:4">
      <c r="A830" s="18"/>
      <c r="B830" s="13"/>
      <c r="C830" s="22"/>
      <c r="D830" s="13"/>
    </row>
    <row r="831" spans="1:4">
      <c r="A831" s="18"/>
      <c r="B831" s="13"/>
      <c r="C831" s="22"/>
      <c r="D831" s="13"/>
    </row>
    <row r="832" spans="1:4">
      <c r="A832" s="18"/>
      <c r="B832" s="13"/>
      <c r="C832" s="22"/>
      <c r="D832" s="13"/>
    </row>
    <row r="833" spans="1:4">
      <c r="A833" s="18"/>
      <c r="B833" s="13"/>
      <c r="C833" s="22"/>
      <c r="D833" s="13"/>
    </row>
    <row r="834" spans="1:4">
      <c r="A834" s="18"/>
      <c r="B834" s="13"/>
      <c r="C834" s="22"/>
      <c r="D834" s="13"/>
    </row>
    <row r="835" spans="1:4">
      <c r="A835" s="18"/>
      <c r="B835" s="13"/>
      <c r="C835" s="22"/>
      <c r="D835" s="13"/>
    </row>
    <row r="836" spans="1:4">
      <c r="A836" s="18"/>
      <c r="B836" s="13"/>
      <c r="C836" s="22"/>
      <c r="D836" s="13"/>
    </row>
    <row r="837" spans="1:4">
      <c r="A837" s="18"/>
      <c r="B837" s="13"/>
      <c r="C837" s="22"/>
      <c r="D837" s="13"/>
    </row>
    <row r="838" spans="1:4">
      <c r="A838" s="18"/>
      <c r="B838" s="13"/>
      <c r="C838" s="22"/>
      <c r="D838" s="13"/>
    </row>
    <row r="839" spans="1:4">
      <c r="A839" s="18"/>
      <c r="B839" s="13"/>
      <c r="C839" s="22"/>
      <c r="D839" s="13"/>
    </row>
    <row r="840" spans="1:4">
      <c r="A840" s="18"/>
      <c r="B840" s="13"/>
      <c r="C840" s="22"/>
      <c r="D840" s="13"/>
    </row>
    <row r="841" spans="1:4">
      <c r="A841" s="18"/>
      <c r="B841" s="13"/>
      <c r="C841" s="22"/>
      <c r="D841" s="13"/>
    </row>
    <row r="842" spans="1:4">
      <c r="A842" s="18"/>
      <c r="B842" s="13"/>
      <c r="C842" s="22"/>
      <c r="D842" s="13"/>
    </row>
    <row r="843" spans="1:4">
      <c r="A843" s="18"/>
      <c r="B843" s="13"/>
      <c r="C843" s="22"/>
      <c r="D843" s="13"/>
    </row>
    <row r="844" spans="1:4">
      <c r="A844" s="18"/>
      <c r="B844" s="13"/>
      <c r="C844" s="22"/>
      <c r="D844" s="13"/>
    </row>
    <row r="845" spans="1:4">
      <c r="A845" s="18"/>
      <c r="B845" s="13"/>
      <c r="C845" s="22"/>
      <c r="D845" s="13"/>
    </row>
    <row r="846" spans="1:4">
      <c r="A846" s="18"/>
      <c r="B846" s="13"/>
      <c r="C846" s="22"/>
      <c r="D846" s="13"/>
    </row>
    <row r="847" spans="1:4">
      <c r="A847" s="18"/>
      <c r="B847" s="13"/>
      <c r="C847" s="22"/>
      <c r="D847" s="13"/>
    </row>
    <row r="848" spans="1:4">
      <c r="A848" s="18"/>
      <c r="B848" s="13"/>
      <c r="C848" s="22"/>
      <c r="D848" s="13"/>
    </row>
    <row r="849" spans="1:4">
      <c r="A849" s="18"/>
      <c r="B849" s="13"/>
      <c r="C849" s="22"/>
      <c r="D849" s="13"/>
    </row>
    <row r="850" spans="1:4">
      <c r="A850" s="18"/>
      <c r="B850" s="13"/>
      <c r="C850" s="22"/>
      <c r="D850" s="13"/>
    </row>
    <row r="851" spans="1:4">
      <c r="A851" s="18"/>
      <c r="B851" s="13"/>
      <c r="C851" s="22"/>
      <c r="D851" s="13"/>
    </row>
    <row r="852" spans="1:4">
      <c r="A852" s="18"/>
      <c r="B852" s="13"/>
      <c r="C852" s="22"/>
      <c r="D852" s="13"/>
    </row>
    <row r="853" spans="1:4">
      <c r="A853" s="18"/>
      <c r="B853" s="13"/>
      <c r="C853" s="22"/>
      <c r="D853" s="13"/>
    </row>
    <row r="854" spans="1:4">
      <c r="A854" s="18"/>
      <c r="B854" s="13"/>
      <c r="C854" s="22"/>
      <c r="D854" s="13"/>
    </row>
    <row r="855" spans="1:4">
      <c r="A855" s="18"/>
      <c r="B855" s="13"/>
      <c r="C855" s="22"/>
      <c r="D855" s="13"/>
    </row>
    <row r="856" spans="1:4">
      <c r="A856" s="18"/>
      <c r="B856" s="13"/>
      <c r="C856" s="22"/>
      <c r="D856" s="13"/>
    </row>
    <row r="857" spans="1:4">
      <c r="A857" s="18"/>
      <c r="B857" s="13"/>
      <c r="C857" s="22"/>
      <c r="D857" s="13"/>
    </row>
    <row r="858" spans="1:4">
      <c r="A858" s="18"/>
      <c r="B858" s="13"/>
      <c r="C858" s="22"/>
      <c r="D858" s="13"/>
    </row>
    <row r="859" spans="1:4">
      <c r="A859" s="18"/>
      <c r="B859" s="13"/>
      <c r="C859" s="22"/>
      <c r="D859" s="13"/>
    </row>
    <row r="860" spans="1:4">
      <c r="A860" s="18"/>
      <c r="B860" s="13"/>
      <c r="C860" s="22"/>
      <c r="D860" s="13"/>
    </row>
    <row r="861" spans="1:4">
      <c r="A861" s="18"/>
      <c r="B861" s="13"/>
      <c r="C861" s="22"/>
      <c r="D861" s="13"/>
    </row>
    <row r="862" spans="1:4">
      <c r="A862" s="18"/>
      <c r="B862" s="13"/>
      <c r="C862" s="22"/>
      <c r="D862" s="13"/>
    </row>
    <row r="863" spans="1:4">
      <c r="A863" s="18"/>
      <c r="B863" s="13"/>
      <c r="C863" s="22"/>
      <c r="D863" s="13"/>
    </row>
    <row r="864" spans="1:4">
      <c r="A864" s="18"/>
      <c r="B864" s="13"/>
      <c r="C864" s="22"/>
      <c r="D864" s="13"/>
    </row>
    <row r="865" spans="1:4">
      <c r="A865" s="18"/>
      <c r="B865" s="13"/>
      <c r="C865" s="22"/>
      <c r="D865" s="13"/>
    </row>
    <row r="866" spans="1:4">
      <c r="A866" s="18"/>
      <c r="B866" s="13"/>
      <c r="C866" s="22"/>
      <c r="D866" s="13"/>
    </row>
    <row r="867" spans="1:4">
      <c r="A867" s="18"/>
      <c r="B867" s="13"/>
      <c r="C867" s="22"/>
      <c r="D867" s="13"/>
    </row>
    <row r="868" spans="1:4">
      <c r="A868" s="18"/>
      <c r="B868" s="13"/>
      <c r="C868" s="22"/>
      <c r="D868" s="13"/>
    </row>
    <row r="869" spans="1:4">
      <c r="A869" s="18"/>
      <c r="B869" s="13"/>
      <c r="C869" s="22"/>
      <c r="D869" s="13"/>
    </row>
    <row r="870" spans="1:4">
      <c r="A870" s="18"/>
      <c r="B870" s="13"/>
      <c r="C870" s="22"/>
      <c r="D870" s="13"/>
    </row>
    <row r="871" spans="1:4">
      <c r="A871" s="18"/>
      <c r="B871" s="13"/>
      <c r="C871" s="22"/>
      <c r="D871" s="13"/>
    </row>
    <row r="872" spans="1:4">
      <c r="A872" s="18"/>
      <c r="B872" s="13"/>
      <c r="C872" s="22"/>
      <c r="D872" s="13"/>
    </row>
    <row r="873" spans="1:4">
      <c r="A873" s="18"/>
      <c r="B873" s="13"/>
      <c r="C873" s="22"/>
      <c r="D873" s="13"/>
    </row>
    <row r="874" spans="1:4">
      <c r="A874" s="18"/>
      <c r="B874" s="13"/>
      <c r="C874" s="22"/>
      <c r="D874" s="13"/>
    </row>
    <row r="875" spans="1:4">
      <c r="A875" s="18"/>
      <c r="B875" s="13"/>
      <c r="C875" s="22"/>
      <c r="D875" s="13"/>
    </row>
    <row r="876" spans="1:4">
      <c r="A876" s="18"/>
      <c r="B876" s="13"/>
      <c r="C876" s="22"/>
      <c r="D876" s="13"/>
    </row>
    <row r="877" spans="1:4">
      <c r="A877" s="18"/>
      <c r="B877" s="13"/>
      <c r="C877" s="22"/>
      <c r="D877" s="13"/>
    </row>
    <row r="878" spans="1:4">
      <c r="A878" s="18"/>
      <c r="B878" s="13"/>
      <c r="C878" s="22"/>
      <c r="D878" s="13"/>
    </row>
    <row r="879" spans="1:4">
      <c r="A879" s="18"/>
      <c r="B879" s="13"/>
      <c r="C879" s="22"/>
      <c r="D879" s="13"/>
    </row>
    <row r="880" spans="1:4">
      <c r="A880" s="18"/>
      <c r="B880" s="13"/>
      <c r="C880" s="22"/>
      <c r="D880" s="13"/>
    </row>
    <row r="881" spans="1:4">
      <c r="A881" s="18"/>
      <c r="B881" s="13"/>
      <c r="C881" s="22"/>
      <c r="D881" s="13"/>
    </row>
    <row r="882" spans="1:4">
      <c r="A882" s="18"/>
      <c r="B882" s="13"/>
      <c r="C882" s="22"/>
      <c r="D882" s="13"/>
    </row>
    <row r="883" spans="1:4">
      <c r="A883" s="18"/>
      <c r="B883" s="13"/>
      <c r="C883" s="22"/>
      <c r="D883" s="13"/>
    </row>
    <row r="884" spans="1:4">
      <c r="A884" s="18"/>
      <c r="B884" s="13"/>
      <c r="C884" s="22"/>
      <c r="D884" s="13"/>
    </row>
    <row r="885" spans="1:4">
      <c r="A885" s="18"/>
      <c r="B885" s="13"/>
      <c r="C885" s="22"/>
      <c r="D885" s="13"/>
    </row>
    <row r="886" spans="1:4">
      <c r="A886" s="18"/>
      <c r="B886" s="13"/>
      <c r="C886" s="22"/>
      <c r="D886" s="13"/>
    </row>
    <row r="887" spans="1:4">
      <c r="A887" s="18"/>
      <c r="B887" s="13"/>
      <c r="C887" s="22"/>
      <c r="D887" s="13"/>
    </row>
    <row r="888" spans="1:4">
      <c r="A888" s="18"/>
      <c r="B888" s="13"/>
      <c r="C888" s="22"/>
      <c r="D888" s="13"/>
    </row>
    <row r="889" spans="1:4">
      <c r="A889" s="18"/>
      <c r="B889" s="13"/>
      <c r="C889" s="22"/>
      <c r="D889" s="13"/>
    </row>
    <row r="890" spans="1:4">
      <c r="A890" s="18"/>
      <c r="B890" s="13"/>
      <c r="C890" s="22"/>
      <c r="D890" s="13"/>
    </row>
    <row r="891" spans="1:4">
      <c r="A891" s="18"/>
      <c r="B891" s="13"/>
      <c r="C891" s="22"/>
      <c r="D891" s="13"/>
    </row>
    <row r="892" spans="1:4">
      <c r="A892" s="18"/>
      <c r="B892" s="13"/>
      <c r="C892" s="22"/>
      <c r="D892" s="13"/>
    </row>
    <row r="893" spans="1:4">
      <c r="A893" s="18"/>
      <c r="B893" s="13"/>
      <c r="C893" s="22"/>
      <c r="D893" s="13"/>
    </row>
    <row r="894" spans="1:4">
      <c r="A894" s="18"/>
      <c r="B894" s="13"/>
      <c r="C894" s="22"/>
      <c r="D894" s="13"/>
    </row>
    <row r="895" spans="1:4">
      <c r="A895" s="18"/>
      <c r="B895" s="13"/>
      <c r="C895" s="22"/>
      <c r="D895" s="13"/>
    </row>
    <row r="896" spans="1:4">
      <c r="A896" s="18"/>
      <c r="B896" s="13"/>
      <c r="C896" s="22"/>
      <c r="D896" s="13"/>
    </row>
    <row r="897" spans="1:4">
      <c r="A897" s="18"/>
      <c r="B897" s="13"/>
      <c r="C897" s="22"/>
      <c r="D897" s="13"/>
    </row>
    <row r="898" spans="1:4">
      <c r="A898" s="18"/>
      <c r="B898" s="13"/>
      <c r="C898" s="22"/>
      <c r="D898" s="13"/>
    </row>
    <row r="899" spans="1:4">
      <c r="A899" s="18"/>
      <c r="B899" s="13"/>
      <c r="C899" s="22"/>
      <c r="D899" s="13"/>
    </row>
    <row r="900" spans="1:4">
      <c r="A900" s="18"/>
      <c r="B900" s="13"/>
      <c r="C900" s="22"/>
      <c r="D900" s="13"/>
    </row>
    <row r="901" spans="1:4">
      <c r="A901" s="18"/>
      <c r="B901" s="13"/>
      <c r="C901" s="22"/>
      <c r="D901" s="13"/>
    </row>
    <row r="902" spans="1:4">
      <c r="A902" s="18"/>
      <c r="B902" s="13"/>
      <c r="C902" s="22"/>
      <c r="D902" s="13"/>
    </row>
    <row r="903" spans="1:4">
      <c r="A903" s="18"/>
      <c r="B903" s="13"/>
      <c r="C903" s="22"/>
      <c r="D903" s="13"/>
    </row>
    <row r="904" spans="1:4">
      <c r="A904" s="18"/>
      <c r="B904" s="13"/>
      <c r="C904" s="22"/>
      <c r="D904" s="13"/>
    </row>
    <row r="905" spans="1:4">
      <c r="A905" s="18"/>
      <c r="B905" s="13"/>
      <c r="C905" s="22"/>
      <c r="D905" s="13"/>
    </row>
    <row r="906" spans="1:4">
      <c r="A906" s="18"/>
      <c r="B906" s="13"/>
      <c r="C906" s="22"/>
      <c r="D906" s="13"/>
    </row>
    <row r="907" spans="1:4">
      <c r="A907" s="18"/>
      <c r="B907" s="13"/>
      <c r="C907" s="22"/>
      <c r="D907" s="13"/>
    </row>
    <row r="908" spans="1:4">
      <c r="A908" s="18"/>
      <c r="B908" s="13"/>
      <c r="C908" s="22"/>
      <c r="D908" s="13"/>
    </row>
    <row r="909" spans="1:4">
      <c r="A909" s="18"/>
      <c r="B909" s="13"/>
      <c r="C909" s="22"/>
      <c r="D909" s="13"/>
    </row>
    <row r="910" spans="1:4">
      <c r="A910" s="18"/>
      <c r="B910" s="13"/>
      <c r="C910" s="22"/>
      <c r="D910" s="13"/>
    </row>
    <row r="911" spans="1:4">
      <c r="A911" s="18"/>
      <c r="B911" s="13"/>
      <c r="C911" s="22"/>
      <c r="D911" s="13"/>
    </row>
    <row r="912" spans="1:4">
      <c r="A912" s="18"/>
      <c r="B912" s="13"/>
      <c r="C912" s="22"/>
      <c r="D912" s="13"/>
    </row>
    <row r="913" spans="1:4">
      <c r="A913" s="18"/>
      <c r="B913" s="13"/>
      <c r="C913" s="22"/>
      <c r="D913" s="13"/>
    </row>
    <row r="914" spans="1:4">
      <c r="A914" s="18"/>
      <c r="B914" s="13"/>
      <c r="C914" s="22"/>
      <c r="D914" s="13"/>
    </row>
    <row r="915" spans="1:4">
      <c r="A915" s="18"/>
      <c r="B915" s="13"/>
      <c r="C915" s="22"/>
      <c r="D915" s="13"/>
    </row>
    <row r="916" spans="1:4">
      <c r="A916" s="18"/>
      <c r="B916" s="13"/>
      <c r="C916" s="22"/>
      <c r="D916" s="13"/>
    </row>
    <row r="917" spans="1:4">
      <c r="A917" s="18"/>
      <c r="B917" s="13"/>
      <c r="C917" s="22"/>
      <c r="D917" s="13"/>
    </row>
    <row r="918" spans="1:4">
      <c r="A918" s="18"/>
      <c r="B918" s="13"/>
      <c r="C918" s="22"/>
      <c r="D918" s="13"/>
    </row>
    <row r="919" spans="1:4">
      <c r="A919" s="18"/>
      <c r="B919" s="13"/>
      <c r="C919" s="22"/>
      <c r="D919" s="13"/>
    </row>
    <row r="920" spans="1:4">
      <c r="A920" s="18"/>
      <c r="B920" s="13"/>
      <c r="C920" s="22"/>
      <c r="D920" s="13"/>
    </row>
    <row r="921" spans="1:4">
      <c r="A921" s="18"/>
      <c r="B921" s="13"/>
      <c r="C921" s="22"/>
      <c r="D921" s="13"/>
    </row>
    <row r="922" spans="1:4">
      <c r="A922" s="18"/>
      <c r="B922" s="13"/>
      <c r="C922" s="22"/>
      <c r="D922" s="13"/>
    </row>
    <row r="923" spans="1:4">
      <c r="A923" s="18"/>
      <c r="B923" s="13"/>
      <c r="C923" s="22"/>
      <c r="D923" s="13"/>
    </row>
    <row r="924" spans="1:4">
      <c r="A924" s="18"/>
      <c r="B924" s="13"/>
      <c r="C924" s="22"/>
      <c r="D924" s="13"/>
    </row>
    <row r="925" spans="1:4">
      <c r="A925" s="18"/>
      <c r="B925" s="13"/>
      <c r="C925" s="22"/>
      <c r="D925" s="13"/>
    </row>
    <row r="926" spans="1:4">
      <c r="A926" s="18"/>
      <c r="B926" s="13"/>
      <c r="C926" s="22"/>
      <c r="D926" s="22"/>
    </row>
    <row r="927" spans="1:4">
      <c r="A927" s="18"/>
      <c r="B927" s="13"/>
      <c r="C927" s="22"/>
      <c r="D927" s="22"/>
    </row>
    <row r="928" spans="1:4">
      <c r="A928" s="18"/>
      <c r="B928" s="13"/>
      <c r="C928" s="22"/>
      <c r="D928" s="22"/>
    </row>
  </sheetData>
  <sheetProtection sheet="1" objects="1" scenarios="1"/>
  <mergeCells count="42">
    <mergeCell ref="A47:D47"/>
    <mergeCell ref="A1:D1"/>
    <mergeCell ref="B2:D2"/>
    <mergeCell ref="B3:D3"/>
    <mergeCell ref="B4:D4"/>
    <mergeCell ref="B5:D5"/>
    <mergeCell ref="B6:D6"/>
    <mergeCell ref="B7:D7"/>
    <mergeCell ref="B8:D8"/>
    <mergeCell ref="A10:D10"/>
    <mergeCell ref="A19:D19"/>
    <mergeCell ref="A32:D32"/>
    <mergeCell ref="A303:D303"/>
    <mergeCell ref="A312:D312"/>
    <mergeCell ref="A180:D180"/>
    <mergeCell ref="A56:D56"/>
    <mergeCell ref="A67:D67"/>
    <mergeCell ref="A90:D90"/>
    <mergeCell ref="A103:D103"/>
    <mergeCell ref="A113:D113"/>
    <mergeCell ref="A124:D124"/>
    <mergeCell ref="A135:D135"/>
    <mergeCell ref="A144:D144"/>
    <mergeCell ref="A154:D154"/>
    <mergeCell ref="A163:D163"/>
    <mergeCell ref="A172:D172"/>
    <mergeCell ref="A320:D320"/>
    <mergeCell ref="A331:D331"/>
    <mergeCell ref="A339:D339"/>
    <mergeCell ref="A285:D285"/>
    <mergeCell ref="A188:D188"/>
    <mergeCell ref="A197:D197"/>
    <mergeCell ref="A206:D206"/>
    <mergeCell ref="A214:D214"/>
    <mergeCell ref="A222:D222"/>
    <mergeCell ref="A231:D231"/>
    <mergeCell ref="A240:D240"/>
    <mergeCell ref="A249:D249"/>
    <mergeCell ref="A258:D258"/>
    <mergeCell ref="A267:D267"/>
    <mergeCell ref="A276:D276"/>
    <mergeCell ref="A294:D294"/>
  </mergeCells>
  <dataValidations count="1">
    <dataValidation type="list" allowBlank="1" showInputMessage="1" showErrorMessage="1" sqref="B7:D7">
      <formula1>"Male, Female, Other"</formula1>
    </dataValidation>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dimension ref="A1:H922"/>
  <sheetViews>
    <sheetView topLeftCell="A105" zoomScaleNormal="100" workbookViewId="0">
      <selection activeCell="B105" sqref="B105:D108"/>
    </sheetView>
  </sheetViews>
  <sheetFormatPr defaultRowHeight="15"/>
  <cols>
    <col min="1" max="1" width="25.7109375" style="26" customWidth="1"/>
    <col min="2" max="2" width="19.7109375" style="24" customWidth="1"/>
    <col min="3" max="4" width="19.7109375" style="27" customWidth="1"/>
    <col min="5" max="16384" width="9.140625" style="24"/>
  </cols>
  <sheetData>
    <row r="1" spans="1:4">
      <c r="A1" s="56" t="str">
        <f>'Survey Tool'!A1:C1</f>
        <v>Survey of Patient Experience 2017</v>
      </c>
      <c r="B1" s="56"/>
      <c r="C1" s="56"/>
      <c r="D1" s="57"/>
    </row>
    <row r="2" spans="1:4">
      <c r="A2" s="14" t="str">
        <f>'Survey Tool'!A2</f>
        <v>CHO Area</v>
      </c>
      <c r="B2" s="53">
        <f>'Survey Tool'!B2:C2</f>
        <v>0</v>
      </c>
      <c r="C2" s="53"/>
      <c r="D2" s="51"/>
    </row>
    <row r="3" spans="1:4">
      <c r="A3" s="14" t="str">
        <f>'Survey Tool'!A3</f>
        <v>Primary Care Centre</v>
      </c>
      <c r="B3" s="53">
        <f>'Survey Tool'!B3:C3</f>
        <v>0</v>
      </c>
      <c r="C3" s="53"/>
      <c r="D3" s="51"/>
    </row>
    <row r="4" spans="1:4">
      <c r="A4" s="14" t="str">
        <f>'Survey Tool'!A4</f>
        <v>Data Entry by</v>
      </c>
      <c r="B4" s="53">
        <f>'Survey Tool'!B4:C4</f>
        <v>0</v>
      </c>
      <c r="C4" s="53"/>
      <c r="D4" s="51"/>
    </row>
    <row r="5" spans="1:4">
      <c r="A5" s="14" t="str">
        <f>'Survey Tool'!A5</f>
        <v>Date of Survey</v>
      </c>
      <c r="B5" s="53">
        <f>'Survey Tool'!B5:C5</f>
        <v>0</v>
      </c>
      <c r="C5" s="53"/>
      <c r="D5" s="51"/>
    </row>
    <row r="6" spans="1:4">
      <c r="A6" s="14" t="str">
        <f>'Survey Tool'!A6</f>
        <v>No in Survey</v>
      </c>
      <c r="B6" s="53">
        <f>'Survey Tool'!B6:C6</f>
        <v>0</v>
      </c>
      <c r="C6" s="53"/>
      <c r="D6" s="51"/>
    </row>
    <row r="7" spans="1:4">
      <c r="A7" s="25" t="s">
        <v>223</v>
      </c>
      <c r="B7" s="60" t="s">
        <v>135</v>
      </c>
      <c r="C7" s="60"/>
      <c r="D7" s="61"/>
    </row>
    <row r="8" spans="1:4" ht="30">
      <c r="A8" s="14" t="s">
        <v>79</v>
      </c>
      <c r="B8" s="53">
        <f>COUNTIF(Table2[What is your age category?],Condition_1)</f>
        <v>0</v>
      </c>
      <c r="C8" s="53"/>
      <c r="D8" s="51"/>
    </row>
    <row r="9" spans="1:4">
      <c r="A9" s="18"/>
      <c r="B9" s="13"/>
      <c r="C9" s="22"/>
      <c r="D9" s="22"/>
    </row>
    <row r="10" spans="1:4">
      <c r="A10" s="53" t="str">
        <f>'Validation List'!B3</f>
        <v>Gender</v>
      </c>
      <c r="B10" s="53"/>
      <c r="C10" s="53"/>
      <c r="D10" s="51"/>
    </row>
    <row r="11" spans="1:4">
      <c r="A11" s="15"/>
      <c r="B11" s="16" t="s">
        <v>37</v>
      </c>
      <c r="C11" s="17" t="s">
        <v>38</v>
      </c>
      <c r="D11" s="17" t="s">
        <v>42</v>
      </c>
    </row>
    <row r="12" spans="1:4">
      <c r="A12" s="15" t="str">
        <f>'Validation List'!B6</f>
        <v>Male</v>
      </c>
      <c r="B12" s="16">
        <f>COUNTIFS(Table2[What is your age category?],Condition_1,Table2[Your gender. Are you?],A12)</f>
        <v>0</v>
      </c>
      <c r="C12" s="17" t="e">
        <f>B12/'Search by Age'!No_who_answered_survey*100</f>
        <v>#DIV/0!</v>
      </c>
      <c r="D12" s="17" t="e">
        <f>B12/(No_who_answered_survey-COUNTIFS(Table2[What is your age category?],Condition_1,Table2[Your gender. Are you?],"Not answered"))*100</f>
        <v>#DIV/0!</v>
      </c>
    </row>
    <row r="13" spans="1:4">
      <c r="A13" s="15" t="str">
        <f>'Validation List'!B7</f>
        <v>Female</v>
      </c>
      <c r="B13" s="16">
        <f>COUNTIFS(Table2[What is your age category?],Condition_1,Table2[Your gender. Are you?],A13)</f>
        <v>0</v>
      </c>
      <c r="C13" s="17" t="e">
        <f>B13/'Search by Age'!No_who_answered_survey*100</f>
        <v>#DIV/0!</v>
      </c>
      <c r="D13" s="17" t="e">
        <f>B13/(No_who_answered_survey-COUNTIFS(Table2[What is your age category?],Condition_1,Table2[Your gender. Are you?],"Not answered"))*100</f>
        <v>#DIV/0!</v>
      </c>
    </row>
    <row r="14" spans="1:4">
      <c r="A14" s="15" t="str">
        <f>'Validation List'!B8</f>
        <v>Other</v>
      </c>
      <c r="B14" s="16">
        <f>COUNTIFS(Table2[What is your age category?],Condition_1,Table2[Your gender. Are you?],A14)</f>
        <v>0</v>
      </c>
      <c r="C14" s="17" t="e">
        <f>B14/'Search by Age'!No_who_answered_survey*100</f>
        <v>#DIV/0!</v>
      </c>
      <c r="D14" s="17" t="e">
        <f>B14/(No_who_answered_survey-COUNTIFS(Table2[What is your age category?],Condition_1,Table2[Your gender. Are you?],"Not answered"))*100</f>
        <v>#DIV/0!</v>
      </c>
    </row>
    <row r="15" spans="1:4" ht="15" customHeight="1">
      <c r="A15" s="15" t="str">
        <f>'Validation List'!B15</f>
        <v>Not answered</v>
      </c>
      <c r="B15" s="16">
        <f>COUNTIFS(Table2[What is your age category?],Condition_1,Table2[Your gender. Are you?],A15)</f>
        <v>0</v>
      </c>
      <c r="C15" s="17" t="e">
        <f>B15/'Search by Age'!No_who_answered_survey*100</f>
        <v>#DIV/0!</v>
      </c>
      <c r="D15" s="17"/>
    </row>
    <row r="16" spans="1:4">
      <c r="A16" s="15" t="s">
        <v>39</v>
      </c>
      <c r="B16" s="16">
        <f>SUM(B12:B15)</f>
        <v>0</v>
      </c>
      <c r="C16" s="17" t="e">
        <f>SUM(C12:C15)</f>
        <v>#DIV/0!</v>
      </c>
      <c r="D16" s="17" t="e">
        <f>SUM(D12:D15)</f>
        <v>#DIV/0!</v>
      </c>
    </row>
    <row r="17" spans="1:4">
      <c r="A17" s="18"/>
      <c r="B17" s="13"/>
      <c r="C17" s="22"/>
      <c r="D17" s="22"/>
    </row>
    <row r="18" spans="1:4">
      <c r="A18" s="18"/>
      <c r="B18" s="13"/>
      <c r="C18" s="22"/>
      <c r="D18" s="22"/>
    </row>
    <row r="19" spans="1:4">
      <c r="A19" s="54" t="str">
        <f>'Validation List'!C3</f>
        <v>Age category</v>
      </c>
      <c r="B19" s="55"/>
      <c r="C19" s="55"/>
      <c r="D19" s="49"/>
    </row>
    <row r="20" spans="1:4">
      <c r="A20" s="15"/>
      <c r="B20" s="16" t="s">
        <v>37</v>
      </c>
      <c r="C20" s="17" t="s">
        <v>38</v>
      </c>
      <c r="D20" s="17" t="s">
        <v>42</v>
      </c>
    </row>
    <row r="21" spans="1:4" ht="30" customHeight="1">
      <c r="A21" s="15" t="str">
        <f>'Validation List'!C6</f>
        <v>Under 18 years of age</v>
      </c>
      <c r="B21" s="16">
        <f>COUNTIF(Table2[What is your age category?],A21)</f>
        <v>0</v>
      </c>
      <c r="C21" s="17" t="e">
        <f t="shared" ref="C21:C27" si="0">B21/No_in_Audit*100</f>
        <v>#DIV/0!</v>
      </c>
      <c r="D21" s="17" t="e">
        <f>B21/(No_in_Audit-COUNTIF(Table2[What is your age category?],"Not answered"))*100</f>
        <v>#DIV/0!</v>
      </c>
    </row>
    <row r="22" spans="1:4" ht="30" customHeight="1">
      <c r="A22" s="15" t="str">
        <f>'Validation List'!C7</f>
        <v>18-24yrs</v>
      </c>
      <c r="B22" s="16">
        <f>COUNTIF(Table2[What is your age category?],A22)</f>
        <v>0</v>
      </c>
      <c r="C22" s="17" t="e">
        <f t="shared" si="0"/>
        <v>#DIV/0!</v>
      </c>
      <c r="D22" s="17" t="e">
        <f>B22/(No_in_Audit-COUNTIF(Table2[What is your age category?],"Not answered"))*100</f>
        <v>#DIV/0!</v>
      </c>
    </row>
    <row r="23" spans="1:4" ht="30" customHeight="1">
      <c r="A23" s="15" t="str">
        <f>'Validation List'!C8</f>
        <v>25-44yrs</v>
      </c>
      <c r="B23" s="16">
        <f>COUNTIF(Table2[What is your age category?],A23)</f>
        <v>0</v>
      </c>
      <c r="C23" s="17" t="e">
        <f t="shared" si="0"/>
        <v>#DIV/0!</v>
      </c>
      <c r="D23" s="17" t="e">
        <f>B23/(No_in_Audit-COUNTIF(Table2[What is your age category?],"Not answered"))*100</f>
        <v>#DIV/0!</v>
      </c>
    </row>
    <row r="24" spans="1:4">
      <c r="A24" s="15" t="str">
        <f>'Validation List'!C9</f>
        <v>45-64yrs</v>
      </c>
      <c r="B24" s="16">
        <f>COUNTIF(Table2[What is your age category?],A24)</f>
        <v>0</v>
      </c>
      <c r="C24" s="17" t="e">
        <f t="shared" si="0"/>
        <v>#DIV/0!</v>
      </c>
      <c r="D24" s="17" t="e">
        <f>B24/(No_in_Audit-COUNTIF(Table2[What is your age category?],"Not answered"))*100</f>
        <v>#DIV/0!</v>
      </c>
    </row>
    <row r="25" spans="1:4">
      <c r="A25" s="15" t="str">
        <f>'Validation List'!C10</f>
        <v>65-74yrs</v>
      </c>
      <c r="B25" s="16">
        <f>COUNTIF(Table2[What is your age category?],A25)</f>
        <v>0</v>
      </c>
      <c r="C25" s="17" t="e">
        <f t="shared" si="0"/>
        <v>#DIV/0!</v>
      </c>
      <c r="D25" s="17" t="e">
        <f>B25/(No_in_Audit-COUNTIF(Table2[What is your age category?],"Not answered"))*100</f>
        <v>#DIV/0!</v>
      </c>
    </row>
    <row r="26" spans="1:4">
      <c r="A26" s="15" t="str">
        <f>'Validation List'!C11</f>
        <v>75 years +</v>
      </c>
      <c r="B26" s="16">
        <f>COUNTIF(Table2[What is your age category?],A26)</f>
        <v>0</v>
      </c>
      <c r="C26" s="17" t="e">
        <f t="shared" si="0"/>
        <v>#DIV/0!</v>
      </c>
      <c r="D26" s="17" t="e">
        <f>B26/(No_in_Audit-COUNTIF(Table2[What is your age category?],"Not answered"))*100</f>
        <v>#DIV/0!</v>
      </c>
    </row>
    <row r="27" spans="1:4">
      <c r="A27" s="15" t="str">
        <f>'Validation List'!C15</f>
        <v>Not answered</v>
      </c>
      <c r="B27" s="16">
        <f>COUNTIF(Table2[What is your age category?],A27)</f>
        <v>0</v>
      </c>
      <c r="C27" s="17" t="e">
        <f t="shared" si="0"/>
        <v>#DIV/0!</v>
      </c>
      <c r="D27" s="17"/>
    </row>
    <row r="28" spans="1:4">
      <c r="A28" s="15" t="s">
        <v>39</v>
      </c>
      <c r="B28" s="16">
        <f>SUM(B21:B27)</f>
        <v>0</v>
      </c>
      <c r="C28" s="17" t="e">
        <f>SUM(C21:C27)</f>
        <v>#DIV/0!</v>
      </c>
      <c r="D28" s="17" t="e">
        <f>SUM(D21:D27)</f>
        <v>#DIV/0!</v>
      </c>
    </row>
    <row r="29" spans="1:4">
      <c r="A29" s="18"/>
      <c r="B29" s="13"/>
      <c r="C29" s="22"/>
      <c r="D29" s="22"/>
    </row>
    <row r="30" spans="1:4">
      <c r="A30" s="18"/>
      <c r="B30" s="13"/>
      <c r="C30" s="22"/>
      <c r="D30" s="22"/>
    </row>
    <row r="31" spans="1:4">
      <c r="A31" s="18"/>
      <c r="B31" s="13"/>
      <c r="C31" s="22"/>
      <c r="D31" s="22"/>
    </row>
    <row r="32" spans="1:4">
      <c r="A32" s="54" t="str">
        <f>'Validation List'!D3</f>
        <v>Holder of Health cards</v>
      </c>
      <c r="B32" s="55"/>
      <c r="C32" s="55"/>
      <c r="D32" s="49"/>
    </row>
    <row r="33" spans="1:4">
      <c r="A33" s="15"/>
      <c r="B33" s="16" t="s">
        <v>37</v>
      </c>
      <c r="C33" s="17" t="s">
        <v>38</v>
      </c>
      <c r="D33" s="17" t="s">
        <v>42</v>
      </c>
    </row>
    <row r="34" spans="1:4">
      <c r="A34" s="15" t="str">
        <f>'Validation List'!D6</f>
        <v>Medical Card</v>
      </c>
      <c r="B34" s="16">
        <f>COUNTIFS(Table2[What is your age category?],Condition_1,Table2[Do you hold any of the following cards?],A34)</f>
        <v>0</v>
      </c>
      <c r="C34" s="17" t="e">
        <f t="shared" ref="C34:C43" si="1">B34/No_who_answered_survey*100</f>
        <v>#DIV/0!</v>
      </c>
      <c r="D34" s="17" t="e">
        <f>B34/(No_who_answered_survey-COUNTIFS(Table2[What is your age category?],Condition_1,Table2[Do you hold any of the following cards?],"Not answered"))*100</f>
        <v>#DIV/0!</v>
      </c>
    </row>
    <row r="35" spans="1:4">
      <c r="A35" s="15" t="str">
        <f>'Validation List'!D7</f>
        <v>GP Visit Card</v>
      </c>
      <c r="B35" s="16">
        <f>COUNTIFS(Table2[What is your age category?],Condition_1,Table2[Do you hold any of the following cards?],A35)</f>
        <v>0</v>
      </c>
      <c r="C35" s="17" t="e">
        <f t="shared" si="1"/>
        <v>#DIV/0!</v>
      </c>
      <c r="D35" s="17" t="e">
        <f>B35/(No_who_answered_survey-COUNTIFS(Table2[What is your age category?],Condition_1,Table2[Do you hold any of the following cards?],"Not answered"))*100</f>
        <v>#DIV/0!</v>
      </c>
    </row>
    <row r="36" spans="1:4">
      <c r="A36" s="15" t="str">
        <f>'Validation List'!D8</f>
        <v>Long-term Illness Card</v>
      </c>
      <c r="B36" s="16">
        <f>COUNTIFS(Table2[What is your age category?],Condition_1,Table2[Do you hold any of the following cards?],A36)</f>
        <v>0</v>
      </c>
      <c r="C36" s="17" t="e">
        <f t="shared" si="1"/>
        <v>#DIV/0!</v>
      </c>
      <c r="D36" s="17" t="e">
        <f>B36/(No_who_answered_survey-COUNTIFS(Table2[What is your age category?],Condition_1,Table2[Do you hold any of the following cards?],"Not answered"))*100</f>
        <v>#DIV/0!</v>
      </c>
    </row>
    <row r="37" spans="1:4" ht="30">
      <c r="A37" s="15" t="str">
        <f>'Validation List'!D9</f>
        <v>Health Amendment Act Card</v>
      </c>
      <c r="B37" s="16">
        <f>COUNTIFS(Table2[What is your age category?],Condition_1,Table2[Do you hold any of the following cards?],A37)</f>
        <v>0</v>
      </c>
      <c r="C37" s="17" t="e">
        <f t="shared" si="1"/>
        <v>#DIV/0!</v>
      </c>
      <c r="D37" s="17" t="e">
        <f>B37/(No_who_answered_survey-COUNTIFS(Table2[What is your age category?],Condition_1,Table2[Do you hold any of the following cards?],"Not answered"))*100</f>
        <v>#DIV/0!</v>
      </c>
    </row>
    <row r="38" spans="1:4" ht="30">
      <c r="A38" s="15" t="str">
        <f>'Validation List'!D10</f>
        <v>European Health Insurance Card</v>
      </c>
      <c r="B38" s="16">
        <f>COUNTIFS(Table2[What is your age category?],Condition_1,Table2[Do you hold any of the following cards?],A38)</f>
        <v>0</v>
      </c>
      <c r="C38" s="17" t="e">
        <f t="shared" si="1"/>
        <v>#DIV/0!</v>
      </c>
      <c r="D38" s="17" t="e">
        <f>B38/(No_who_answered_survey-COUNTIFS(Table2[What is your age category?],Condition_1,Table2[Do you hold any of the following cards?],"Not answered"))*100</f>
        <v>#DIV/0!</v>
      </c>
    </row>
    <row r="39" spans="1:4" ht="30">
      <c r="A39" s="15" t="str">
        <f>'Validation List'!D11</f>
        <v>Drug Payment Scheme Card</v>
      </c>
      <c r="B39" s="16">
        <f>COUNTIFS(Table2[What is your age category?],Condition_1,Table2[Do you hold any of the following cards?],A39)</f>
        <v>0</v>
      </c>
      <c r="C39" s="17" t="e">
        <f t="shared" si="1"/>
        <v>#DIV/0!</v>
      </c>
      <c r="D39" s="17" t="e">
        <f>B39/(No_who_answered_survey-COUNTIFS(Table2[What is your age category?],Condition_1,Table2[Do you hold any of the following cards?],"Not answered"))*100</f>
        <v>#DIV/0!</v>
      </c>
    </row>
    <row r="40" spans="1:4">
      <c r="A40" s="15" t="str">
        <f>'Validation List'!D12</f>
        <v>Other</v>
      </c>
      <c r="B40" s="16">
        <f>COUNTIFS(Table2[What is your age category?],Condition_1,Table2[Do you hold any of the following cards?],A40)</f>
        <v>0</v>
      </c>
      <c r="C40" s="17" t="e">
        <f t="shared" si="1"/>
        <v>#DIV/0!</v>
      </c>
      <c r="D40" s="17" t="e">
        <f>B40/(No_who_answered_survey-COUNTIFS(Table2[What is your age category?],Condition_1,Table2[Do you hold any of the following cards?],"Not answered"))*100</f>
        <v>#DIV/0!</v>
      </c>
    </row>
    <row r="41" spans="1:4" ht="30">
      <c r="A41" s="15" t="str">
        <f>'Validation List'!D13</f>
        <v>2 or more of the above cards</v>
      </c>
      <c r="B41" s="16">
        <f>COUNTIFS(Table2[What is your age category?],Condition_1,Table2[Do you hold any of the following cards?],A41)</f>
        <v>0</v>
      </c>
      <c r="C41" s="17" t="e">
        <f t="shared" si="1"/>
        <v>#DIV/0!</v>
      </c>
      <c r="D41" s="17" t="e">
        <f>B41/(No_who_answered_survey-COUNTIFS(Table2[What is your age category?],Condition_1,Table2[Do you hold any of the following cards?],"Not answered"))*100</f>
        <v>#DIV/0!</v>
      </c>
    </row>
    <row r="42" spans="1:4">
      <c r="A42" s="15" t="str">
        <f>'Validation List'!D14</f>
        <v>None of these</v>
      </c>
      <c r="B42" s="16">
        <f>COUNTIFS(Table2[What is your age category?],Condition_1,Table2[Do you hold any of the following cards?],A42)</f>
        <v>0</v>
      </c>
      <c r="C42" s="17" t="e">
        <f t="shared" ref="C42" si="2">B42/No_who_answered_survey*100</f>
        <v>#DIV/0!</v>
      </c>
      <c r="D42" s="17" t="e">
        <f>B42/(No_who_answered_survey-COUNTIFS(Table2[What is your age category?],Condition_1,Table2[Do you hold any of the following cards?],"Not answered"))*100</f>
        <v>#DIV/0!</v>
      </c>
    </row>
    <row r="43" spans="1:4">
      <c r="A43" s="15" t="str">
        <f>'Validation List'!D15</f>
        <v>Not answered</v>
      </c>
      <c r="B43" s="16">
        <f>COUNTIFS(Table2[What is your age category?],Condition_1,Table2[Do you hold any of the following cards?],A43)</f>
        <v>0</v>
      </c>
      <c r="C43" s="17" t="e">
        <f t="shared" si="1"/>
        <v>#DIV/0!</v>
      </c>
      <c r="D43" s="17"/>
    </row>
    <row r="44" spans="1:4">
      <c r="A44" s="15" t="s">
        <v>39</v>
      </c>
      <c r="B44" s="16">
        <f>SUM(B34:B43)</f>
        <v>0</v>
      </c>
      <c r="C44" s="17" t="e">
        <f>SUM(C34:C43)</f>
        <v>#DIV/0!</v>
      </c>
      <c r="D44" s="17" t="e">
        <f>SUM(D34:D43)</f>
        <v>#DIV/0!</v>
      </c>
    </row>
    <row r="45" spans="1:4">
      <c r="A45" s="18"/>
      <c r="B45" s="13"/>
      <c r="C45" s="22"/>
      <c r="D45" s="22"/>
    </row>
    <row r="46" spans="1:4">
      <c r="A46" s="18"/>
      <c r="B46" s="13"/>
      <c r="C46" s="22"/>
      <c r="D46" s="22"/>
    </row>
    <row r="47" spans="1:4" s="26" customFormat="1" ht="29.25" customHeight="1">
      <c r="A47" s="47" t="str">
        <f>'Validation List'!E3</f>
        <v>Use of Interpreter Services</v>
      </c>
      <c r="B47" s="48"/>
      <c r="C47" s="48"/>
      <c r="D47" s="52"/>
    </row>
    <row r="48" spans="1:4">
      <c r="A48" s="15"/>
      <c r="B48" s="16" t="s">
        <v>37</v>
      </c>
      <c r="C48" s="17" t="s">
        <v>38</v>
      </c>
      <c r="D48" s="17" t="s">
        <v>42</v>
      </c>
    </row>
    <row r="49" spans="1:4" ht="30">
      <c r="A49" s="15" t="str">
        <f>'Validation List'!E6</f>
        <v>I did not use an interpreter for my appointment</v>
      </c>
      <c r="B49" s="16">
        <f>COUNTIFS(Table2[What is your age category?],Condition_1,Table2[Please state which of the following applies to you?],A49)</f>
        <v>0</v>
      </c>
      <c r="C49" s="17" t="e">
        <f t="shared" ref="C49" si="3">B49/No_who_answered_survey*100</f>
        <v>#DIV/0!</v>
      </c>
      <c r="D49" s="17" t="e">
        <f>B49/(No_who_answered_survey-COUNTIFS(Table2[What is your age category?],Condition_1,Table2[Please state which of the following applies to you?],"Not answered"))*100</f>
        <v>#DIV/0!</v>
      </c>
    </row>
    <row r="50" spans="1:4">
      <c r="A50" s="15" t="str">
        <f>'Validation List'!E7</f>
        <v>I used a Sign interpreter</v>
      </c>
      <c r="B50" s="16">
        <f>COUNTIFS(Table2[What is your age category?],Condition_1,Table2[Please state which of the following applies to you?],A50)</f>
        <v>0</v>
      </c>
      <c r="C50" s="17" t="e">
        <f t="shared" ref="C50:C52" si="4">B50/No_who_answered_survey*100</f>
        <v>#DIV/0!</v>
      </c>
      <c r="D50" s="17" t="e">
        <f>B50/(No_who_answered_survey-COUNTIFS(Table2[What is your age category?],Condition_1,Table2[Please state which of the following applies to you?],"Not answered"))*100</f>
        <v>#DIV/0!</v>
      </c>
    </row>
    <row r="51" spans="1:4" ht="30">
      <c r="A51" s="15" t="str">
        <f>'Validation List'!E8</f>
        <v>I used a Language interpreter</v>
      </c>
      <c r="B51" s="16">
        <f>COUNTIFS(Table2[What is your age category?],Condition_1,Table2[Please state which of the following applies to you?],A51)</f>
        <v>0</v>
      </c>
      <c r="C51" s="17" t="e">
        <f t="shared" si="4"/>
        <v>#DIV/0!</v>
      </c>
      <c r="D51" s="17" t="e">
        <f>B51/(No_who_answered_survey-COUNTIFS(Table2[What is your age category?],Condition_1,Table2[Please state which of the following applies to you?],"Not answered"))*100</f>
        <v>#DIV/0!</v>
      </c>
    </row>
    <row r="52" spans="1:4">
      <c r="A52" s="15" t="str">
        <f>'Validation List'!E15</f>
        <v>Not answered</v>
      </c>
      <c r="B52" s="16">
        <f>COUNTIFS(Table2[What is your age category?],Condition_1,Table2[Please state which of the following applies to you?],A52)</f>
        <v>0</v>
      </c>
      <c r="C52" s="17" t="e">
        <f t="shared" si="4"/>
        <v>#DIV/0!</v>
      </c>
      <c r="D52" s="17"/>
    </row>
    <row r="53" spans="1:4">
      <c r="A53" s="15" t="s">
        <v>39</v>
      </c>
      <c r="B53" s="16">
        <f>SUM(B49:B52)</f>
        <v>0</v>
      </c>
      <c r="C53" s="17" t="e">
        <f>SUM(C49:C52)</f>
        <v>#DIV/0!</v>
      </c>
      <c r="D53" s="17" t="e">
        <f>SUM(D49:D52)</f>
        <v>#DIV/0!</v>
      </c>
    </row>
    <row r="54" spans="1:4">
      <c r="A54" s="18"/>
      <c r="B54" s="13"/>
      <c r="C54" s="22"/>
      <c r="D54" s="22"/>
    </row>
    <row r="55" spans="1:4">
      <c r="A55" s="18"/>
      <c r="B55" s="13"/>
      <c r="C55" s="22"/>
      <c r="D55" s="22"/>
    </row>
    <row r="56" spans="1:4">
      <c r="A56" s="47" t="str">
        <f>'Validation List'!F3</f>
        <v>Patients Country of Origin.</v>
      </c>
      <c r="B56" s="48"/>
      <c r="C56" s="48"/>
      <c r="D56" s="49"/>
    </row>
    <row r="57" spans="1:4">
      <c r="A57" s="15"/>
      <c r="B57" s="16" t="s">
        <v>37</v>
      </c>
      <c r="C57" s="17" t="s">
        <v>38</v>
      </c>
      <c r="D57" s="17" t="s">
        <v>42</v>
      </c>
    </row>
    <row r="58" spans="1:4">
      <c r="A58" s="15" t="str">
        <f>'Validation List'!F6</f>
        <v>Ireland</v>
      </c>
      <c r="B58" s="16">
        <f>COUNTIFS(Table2[What is your age category?],Condition_1,Table2[Please tell us your country of origin.],A58)</f>
        <v>0</v>
      </c>
      <c r="C58" s="17" t="e">
        <f t="shared" ref="C58" si="5">B58/No_who_answered_survey*100</f>
        <v>#DIV/0!</v>
      </c>
      <c r="D58" s="17" t="e">
        <f>B58/(No_who_answered_survey-COUNTIFS(Table2[What is your age category?],Condition_1,Table2[Please tell us your country of origin.],"Not answered"))*100</f>
        <v>#DIV/0!</v>
      </c>
    </row>
    <row r="59" spans="1:4">
      <c r="A59" s="15" t="str">
        <f>'Validation List'!F7</f>
        <v>United Kingdom</v>
      </c>
      <c r="B59" s="16">
        <f>COUNTIFS(Table2[What is your age category?],Condition_1,Table2[Please tell us your country of origin.],A59)</f>
        <v>0</v>
      </c>
      <c r="C59" s="17" t="e">
        <f t="shared" ref="C59:C63" si="6">B59/No_who_answered_survey*100</f>
        <v>#DIV/0!</v>
      </c>
      <c r="D59" s="17" t="e">
        <f>B59/(No_who_answered_survey-COUNTIFS(Table2[What is your age category?],Condition_1,Table2[Please tell us your country of origin.],"Not answered"))*100</f>
        <v>#DIV/0!</v>
      </c>
    </row>
    <row r="60" spans="1:4">
      <c r="A60" s="15" t="str">
        <f>'Validation List'!F8</f>
        <v>EU</v>
      </c>
      <c r="B60" s="16">
        <f>COUNTIFS(Table2[What is your age category?],Condition_1,Table2[Please tell us your country of origin.],A60)</f>
        <v>0</v>
      </c>
      <c r="C60" s="17" t="e">
        <f t="shared" si="6"/>
        <v>#DIV/0!</v>
      </c>
      <c r="D60" s="17" t="e">
        <f>B60/(No_who_answered_survey-COUNTIFS(Table2[What is your age category?],Condition_1,Table2[Please tell us your country of origin.],"Not answered"))*100</f>
        <v>#DIV/0!</v>
      </c>
    </row>
    <row r="61" spans="1:4">
      <c r="A61" s="15" t="str">
        <f>'Validation List'!F9</f>
        <v>Non-EU</v>
      </c>
      <c r="B61" s="16">
        <f>COUNTIFS(Table2[What is your age category?],Condition_1,Table2[Please tell us your country of origin.],A61)</f>
        <v>0</v>
      </c>
      <c r="C61" s="17" t="e">
        <f t="shared" si="6"/>
        <v>#DIV/0!</v>
      </c>
      <c r="D61" s="17" t="e">
        <f>B61/(No_who_answered_survey-COUNTIFS(Table2[What is your age category?],Condition_1,Table2[Please tell us your country of origin.],"Not answered"))*100</f>
        <v>#DIV/0!</v>
      </c>
    </row>
    <row r="62" spans="1:4">
      <c r="A62" s="15" t="str">
        <f>'Validation List'!F10</f>
        <v>Other</v>
      </c>
      <c r="B62" s="16">
        <f>COUNTIFS(Table2[What is your age category?],Condition_1,Table2[Please tell us your country of origin.],A62)</f>
        <v>0</v>
      </c>
      <c r="C62" s="17" t="e">
        <f t="shared" si="6"/>
        <v>#DIV/0!</v>
      </c>
      <c r="D62" s="17" t="e">
        <f>B62/(No_who_answered_survey-COUNTIFS(Table2[What is your age category?],Condition_1,Table2[Please tell us your country of origin.],"Not answered"))*100</f>
        <v>#DIV/0!</v>
      </c>
    </row>
    <row r="63" spans="1:4">
      <c r="A63" s="15" t="str">
        <f>'Validation List'!F15</f>
        <v>Not answered</v>
      </c>
      <c r="B63" s="16">
        <f>COUNTIFS(Table2[What is your age category?],Condition_1,Table2[Please tell us your country of origin.],A63)</f>
        <v>0</v>
      </c>
      <c r="C63" s="17" t="e">
        <f t="shared" si="6"/>
        <v>#DIV/0!</v>
      </c>
      <c r="D63" s="17"/>
    </row>
    <row r="64" spans="1:4">
      <c r="A64" s="15" t="s">
        <v>39</v>
      </c>
      <c r="B64" s="16">
        <f>SUM(B58:B63)</f>
        <v>0</v>
      </c>
      <c r="C64" s="17" t="e">
        <f>SUM(C58:C63)</f>
        <v>#DIV/0!</v>
      </c>
      <c r="D64" s="17" t="e">
        <f>SUM(D58:D63)</f>
        <v>#DIV/0!</v>
      </c>
    </row>
    <row r="65" spans="1:4">
      <c r="A65" s="18"/>
      <c r="B65" s="13"/>
      <c r="C65" s="22"/>
      <c r="D65" s="22"/>
    </row>
    <row r="66" spans="1:4">
      <c r="A66" s="18"/>
      <c r="B66" s="13"/>
      <c r="C66" s="22"/>
      <c r="D66" s="22"/>
    </row>
    <row r="67" spans="1:4">
      <c r="A67" s="47" t="str">
        <f>'Validation List'!G3</f>
        <v>Primary Care Team services attended on day of survey</v>
      </c>
      <c r="B67" s="48"/>
      <c r="C67" s="48"/>
      <c r="D67" s="49"/>
    </row>
    <row r="68" spans="1:4">
      <c r="A68" s="15"/>
      <c r="B68" s="16" t="s">
        <v>37</v>
      </c>
      <c r="C68" s="17" t="s">
        <v>38</v>
      </c>
      <c r="D68" s="17" t="s">
        <v>42</v>
      </c>
    </row>
    <row r="69" spans="1:4">
      <c r="A69" s="15" t="str">
        <f>'Validation List'!G17</f>
        <v>GP</v>
      </c>
      <c r="B69" s="16">
        <f>COUNTIFS(Table2[What is your age category?],Condition_1,Table2[Which of the following primary care team services did you attend today?],A69)</f>
        <v>0</v>
      </c>
      <c r="C69" s="17" t="e">
        <f t="shared" ref="C69" si="7">B69/No_who_answered_survey*100</f>
        <v>#DIV/0!</v>
      </c>
      <c r="D69" s="17" t="e">
        <f>B69/(No_who_answered_survey-COUNTIFS(Table2[What is your age category?],Condition_1,Table2[Which of the following primary care team services did you attend today?],"Not answered"))*100</f>
        <v>#DIV/0!</v>
      </c>
    </row>
    <row r="70" spans="1:4">
      <c r="A70" s="15" t="str">
        <f>'Validation List'!G18</f>
        <v>Practice Nurse</v>
      </c>
      <c r="B70" s="16">
        <f>COUNTIFS(Table2[What is your age category?],Condition_1,Table2[Which of the following primary care team services did you attend today?],A70)</f>
        <v>0</v>
      </c>
      <c r="C70" s="17" t="e">
        <f t="shared" ref="C70:C86" si="8">B70/No_who_answered_survey*100</f>
        <v>#DIV/0!</v>
      </c>
      <c r="D70" s="17" t="e">
        <f>B70/(No_who_answered_survey-COUNTIFS(Table2[What is your age category?],Condition_1,Table2[Which of the following primary care team services did you attend today?],"Not answered"))*100</f>
        <v>#DIV/0!</v>
      </c>
    </row>
    <row r="71" spans="1:4" ht="30">
      <c r="A71" s="15" t="str">
        <f>'Validation List'!G19</f>
        <v>Public Health Nurse or Community Nurse</v>
      </c>
      <c r="B71" s="16">
        <f>COUNTIFS(Table2[What is your age category?],Condition_1,Table2[Which of the following primary care team services did you attend today?],A71)</f>
        <v>0</v>
      </c>
      <c r="C71" s="17" t="e">
        <f t="shared" si="8"/>
        <v>#DIV/0!</v>
      </c>
      <c r="D71" s="17" t="e">
        <f>B71/(No_who_answered_survey-COUNTIFS(Table2[What is your age category?],Condition_1,Table2[Which of the following primary care team services did you attend today?],"Not answered"))*100</f>
        <v>#DIV/0!</v>
      </c>
    </row>
    <row r="72" spans="1:4">
      <c r="A72" s="15" t="str">
        <f>'Validation List'!G20</f>
        <v>Physiotherapist</v>
      </c>
      <c r="B72" s="16">
        <f>COUNTIFS(Table2[What is your age category?],Condition_1,Table2[Which of the following primary care team services did you attend today?],A72)</f>
        <v>0</v>
      </c>
      <c r="C72" s="17" t="e">
        <f t="shared" si="8"/>
        <v>#DIV/0!</v>
      </c>
      <c r="D72" s="17" t="e">
        <f>B72/(No_who_answered_survey-COUNTIFS(Table2[What is your age category?],Condition_1,Table2[Which of the following primary care team services did you attend today?],"Not answered"))*100</f>
        <v>#DIV/0!</v>
      </c>
    </row>
    <row r="73" spans="1:4">
      <c r="A73" s="15" t="str">
        <f>'Validation List'!G21</f>
        <v>Occupational Therapist</v>
      </c>
      <c r="B73" s="16">
        <f>COUNTIFS(Table2[What is your age category?],Condition_1,Table2[Which of the following primary care team services did you attend today?],A73)</f>
        <v>0</v>
      </c>
      <c r="C73" s="17" t="e">
        <f t="shared" si="8"/>
        <v>#DIV/0!</v>
      </c>
      <c r="D73" s="17" t="e">
        <f>B73/(No_who_answered_survey-COUNTIFS(Table2[What is your age category?],Condition_1,Table2[Which of the following primary care team services did you attend today?],"Not answered"))*100</f>
        <v>#DIV/0!</v>
      </c>
    </row>
    <row r="74" spans="1:4">
      <c r="A74" s="15" t="str">
        <f>'Validation List'!G22</f>
        <v>SLT</v>
      </c>
      <c r="B74" s="16">
        <f>COUNTIFS(Table2[What is your age category?],Condition_1,Table2[Which of the following primary care team services did you attend today?],A74)</f>
        <v>0</v>
      </c>
      <c r="C74" s="17" t="e">
        <f t="shared" si="8"/>
        <v>#DIV/0!</v>
      </c>
      <c r="D74" s="17" t="e">
        <f>B74/(No_who_answered_survey-COUNTIFS(Table2[What is your age category?],Condition_1,Table2[Which of the following primary care team services did you attend today?],"Not answered"))*100</f>
        <v>#DIV/0!</v>
      </c>
    </row>
    <row r="75" spans="1:4">
      <c r="A75" s="15" t="str">
        <f>'Validation List'!G23</f>
        <v>Dentist</v>
      </c>
      <c r="B75" s="16">
        <f>COUNTIFS(Table2[What is your age category?],Condition_1,Table2[Which of the following primary care team services did you attend today?],A75)</f>
        <v>0</v>
      </c>
      <c r="C75" s="17" t="e">
        <f t="shared" si="8"/>
        <v>#DIV/0!</v>
      </c>
      <c r="D75" s="17" t="e">
        <f>B75/(No_who_answered_survey-COUNTIFS(Table2[What is your age category?],Condition_1,Table2[Which of the following primary care team services did you attend today?],"Not answered"))*100</f>
        <v>#DIV/0!</v>
      </c>
    </row>
    <row r="76" spans="1:4">
      <c r="A76" s="15" t="str">
        <f>'Validation List'!G24</f>
        <v>Dental Hygienist/ Nurse</v>
      </c>
      <c r="B76" s="16">
        <f>COUNTIFS(Table2[What is your age category?],Condition_1,Table2[Which of the following primary care team services did you attend today?],A76)</f>
        <v>0</v>
      </c>
      <c r="C76" s="17" t="e">
        <f t="shared" si="8"/>
        <v>#DIV/0!</v>
      </c>
      <c r="D76" s="17" t="e">
        <f>B76/(No_who_answered_survey-COUNTIFS(Table2[What is your age category?],Condition_1,Table2[Which of the following primary care team services did you attend today?],"Not answered"))*100</f>
        <v>#DIV/0!</v>
      </c>
    </row>
    <row r="77" spans="1:4">
      <c r="A77" s="15" t="str">
        <f>'Validation List'!G25</f>
        <v>Podiatrist/ Chiropodist</v>
      </c>
      <c r="B77" s="16">
        <f>COUNTIFS(Table2[What is your age category?],Condition_1,Table2[Which of the following primary care team services did you attend today?],A77)</f>
        <v>0</v>
      </c>
      <c r="C77" s="17" t="e">
        <f t="shared" ref="C77:C85" si="9">B77/No_who_answered_survey*100</f>
        <v>#DIV/0!</v>
      </c>
      <c r="D77" s="17" t="e">
        <f>B77/(No_who_answered_survey-COUNTIFS(Table2[What is your age category?],Condition_1,Table2[Which of the following primary care team services did you attend today?],"Not answered"))*100</f>
        <v>#DIV/0!</v>
      </c>
    </row>
    <row r="78" spans="1:4">
      <c r="A78" s="15" t="str">
        <f>'Validation List'!G26</f>
        <v>Dietician</v>
      </c>
      <c r="B78" s="16">
        <f>COUNTIFS(Table2[What is your age category?],Condition_1,Table2[Which of the following primary care team services did you attend today?],A78)</f>
        <v>0</v>
      </c>
      <c r="C78" s="17" t="e">
        <f t="shared" si="9"/>
        <v>#DIV/0!</v>
      </c>
      <c r="D78" s="17" t="e">
        <f>B78/(No_who_answered_survey-COUNTIFS(Table2[What is your age category?],Condition_1,Table2[Which of the following primary care team services did you attend today?],"Not answered"))*100</f>
        <v>#DIV/0!</v>
      </c>
    </row>
    <row r="79" spans="1:4">
      <c r="A79" s="15" t="str">
        <f>'Validation List'!G27</f>
        <v>Psychology</v>
      </c>
      <c r="B79" s="16">
        <f>COUNTIFS(Table2[What is your age category?],Condition_1,Table2[Which of the following primary care team services did you attend today?],A79)</f>
        <v>0</v>
      </c>
      <c r="C79" s="17" t="e">
        <f t="shared" si="9"/>
        <v>#DIV/0!</v>
      </c>
      <c r="D79" s="17" t="e">
        <f>B79/(No_who_answered_survey-COUNTIFS(Table2[What is your age category?],Condition_1,Table2[Which of the following primary care team services did you attend today?],"Not answered"))*100</f>
        <v>#DIV/0!</v>
      </c>
    </row>
    <row r="80" spans="1:4">
      <c r="A80" s="15" t="str">
        <f>'Validation List'!G28</f>
        <v>Orthodontic</v>
      </c>
      <c r="B80" s="16">
        <f>COUNTIFS(Table2[What is your age category?],Condition_1,Table2[Which of the following primary care team services did you attend today?],A80)</f>
        <v>0</v>
      </c>
      <c r="C80" s="17" t="e">
        <f t="shared" si="9"/>
        <v>#DIV/0!</v>
      </c>
      <c r="D80" s="17" t="e">
        <f>B80/(No_who_answered_survey-COUNTIFS(Table2[What is your age category?],Condition_1,Table2[Which of the following primary care team services did you attend today?],"Not answered"))*100</f>
        <v>#DIV/0!</v>
      </c>
    </row>
    <row r="81" spans="1:4">
      <c r="A81" s="15" t="str">
        <f>'Validation List'!G29</f>
        <v>Social Work</v>
      </c>
      <c r="B81" s="16">
        <f>COUNTIFS(Table2[What is your age category?],Condition_1,Table2[Which of the following primary care team services did you attend today?],A81)</f>
        <v>0</v>
      </c>
      <c r="C81" s="17" t="e">
        <f t="shared" si="9"/>
        <v>#DIV/0!</v>
      </c>
      <c r="D81" s="17" t="e">
        <f>B81/(No_who_answered_survey-COUNTIFS(Table2[What is your age category?],Condition_1,Table2[Which of the following primary care team services did you attend today?],"Not answered"))*100</f>
        <v>#DIV/0!</v>
      </c>
    </row>
    <row r="82" spans="1:4">
      <c r="A82" s="15" t="str">
        <f>'Validation List'!G30</f>
        <v>Ophthalmic</v>
      </c>
      <c r="B82" s="16">
        <f>COUNTIFS(Table2[What is your age category?],Condition_1,Table2[Which of the following primary care team services did you attend today?],A82)</f>
        <v>0</v>
      </c>
      <c r="C82" s="17" t="e">
        <f t="shared" si="9"/>
        <v>#DIV/0!</v>
      </c>
      <c r="D82" s="17" t="e">
        <f>B82/(No_who_answered_survey-COUNTIFS(Table2[What is your age category?],Condition_1,Table2[Which of the following primary care team services did you attend today?],"Not answered"))*100</f>
        <v>#DIV/0!</v>
      </c>
    </row>
    <row r="83" spans="1:4">
      <c r="A83" s="15" t="str">
        <f>'Validation List'!G31</f>
        <v>Audiology</v>
      </c>
      <c r="B83" s="16">
        <f>COUNTIFS(Table2[What is your age category?],Condition_1,Table2[Which of the following primary care team services did you attend today?],A83)</f>
        <v>0</v>
      </c>
      <c r="C83" s="17" t="e">
        <f t="shared" si="9"/>
        <v>#DIV/0!</v>
      </c>
      <c r="D83" s="17" t="e">
        <f>B83/(No_who_answered_survey-COUNTIFS(Table2[What is your age category?],Condition_1,Table2[Which of the following primary care team services did you attend today?],"Not answered"))*100</f>
        <v>#DIV/0!</v>
      </c>
    </row>
    <row r="84" spans="1:4">
      <c r="A84" s="15" t="str">
        <f>'Validation List'!G32</f>
        <v>Another service</v>
      </c>
      <c r="B84" s="16">
        <f>COUNTIFS(Table2[What is your age category?],Condition_1,Table2[Which of the following primary care team services did you attend today?],A84)</f>
        <v>0</v>
      </c>
      <c r="C84" s="17" t="e">
        <f t="shared" si="9"/>
        <v>#DIV/0!</v>
      </c>
      <c r="D84" s="17" t="e">
        <f>B84/(No_who_answered_survey-COUNTIFS(Table2[What is your age category?],Condition_1,Table2[Which of the following primary care team services did you attend today?],"Not answered"))*100</f>
        <v>#DIV/0!</v>
      </c>
    </row>
    <row r="85" spans="1:4" ht="30">
      <c r="A85" s="15" t="str">
        <f>'Validation List'!G33</f>
        <v>Attended more than one service</v>
      </c>
      <c r="B85" s="16">
        <f>COUNTIFS(Table2[What is your age category?],Condition_1,Table2[Which of the following primary care team services did you attend today?],A85)</f>
        <v>0</v>
      </c>
      <c r="C85" s="17" t="e">
        <f t="shared" si="9"/>
        <v>#DIV/0!</v>
      </c>
      <c r="D85" s="17" t="e">
        <f>B85/(No_who_answered_survey-COUNTIFS(Table2[What is your age category?],Condition_1,Table2[Which of the following primary care team services did you attend today?],"Not answered"))*100</f>
        <v>#DIV/0!</v>
      </c>
    </row>
    <row r="86" spans="1:4">
      <c r="A86" s="15" t="str">
        <f>'Validation List'!G15</f>
        <v>Not answered</v>
      </c>
      <c r="B86" s="16">
        <f>COUNTIFS(Table2[What is your age category?],Condition_1,Table2[Which of the following primary care team services did you attend today?],A86)</f>
        <v>0</v>
      </c>
      <c r="C86" s="17" t="e">
        <f t="shared" si="8"/>
        <v>#DIV/0!</v>
      </c>
      <c r="D86" s="17"/>
    </row>
    <row r="87" spans="1:4">
      <c r="A87" s="15" t="s">
        <v>39</v>
      </c>
      <c r="B87" s="16">
        <f>SUM(B69:B86)</f>
        <v>0</v>
      </c>
      <c r="C87" s="17" t="e">
        <f>SUM(C69:C86)</f>
        <v>#DIV/0!</v>
      </c>
      <c r="D87" s="17" t="e">
        <f>SUM(D69:D86)</f>
        <v>#DIV/0!</v>
      </c>
    </row>
    <row r="88" spans="1:4">
      <c r="A88" s="18"/>
      <c r="B88" s="13"/>
      <c r="C88" s="22"/>
      <c r="D88" s="22"/>
    </row>
    <row r="89" spans="1:4">
      <c r="A89" s="18"/>
      <c r="B89" s="13"/>
      <c r="C89" s="22"/>
      <c r="D89" s="22"/>
    </row>
    <row r="90" spans="1:4">
      <c r="A90" s="50" t="str">
        <f>'Validation List'!H3</f>
        <v>Patient's experience of accessing the service</v>
      </c>
      <c r="B90" s="50"/>
      <c r="C90" s="50"/>
      <c r="D90" s="51"/>
    </row>
    <row r="91" spans="1:4">
      <c r="A91" s="15"/>
      <c r="B91" s="16" t="s">
        <v>37</v>
      </c>
      <c r="C91" s="17" t="s">
        <v>38</v>
      </c>
      <c r="D91" s="17" t="s">
        <v>42</v>
      </c>
    </row>
    <row r="92" spans="1:4" ht="30">
      <c r="A92" s="15" t="str">
        <f>'Validation List'!H6</f>
        <v>I had no difficulties accessing the service.</v>
      </c>
      <c r="B92" s="16">
        <f>COUNTIFS(Table2[What is your age category?],Condition_1,Table2[Please tell us about your experience accessing the service today?],A92)</f>
        <v>0</v>
      </c>
      <c r="C92" s="17" t="e">
        <f t="shared" ref="C92" si="10">B92/No_who_answered_survey*100</f>
        <v>#DIV/0!</v>
      </c>
      <c r="D92" s="17" t="e">
        <f>B92/(No_who_answered_survey-COUNTIFS(Table2[What is your age category?],Condition_1,Table2[Please tell us about your experience accessing the service today?],"Not answered"))*100</f>
        <v>#DIV/0!</v>
      </c>
    </row>
    <row r="93" spans="1:4" ht="30">
      <c r="A93" s="15" t="str">
        <f>'Validation List'!H7</f>
        <v>The opening times were not suitable.</v>
      </c>
      <c r="B93" s="16">
        <f>COUNTIFS(Table2[What is your age category?],Condition_1,Table2[Please tell us about your experience accessing the service today?],A93)</f>
        <v>0</v>
      </c>
      <c r="C93" s="17" t="e">
        <f t="shared" ref="C93:C99" si="11">B93/No_who_answered_survey*100</f>
        <v>#DIV/0!</v>
      </c>
      <c r="D93" s="17" t="e">
        <f>B93/(No_who_answered_survey-COUNTIFS(Table2[What is your age category?],Condition_1,Table2[Please tell us about your experience accessing the service today?],"Not answered"))*100</f>
        <v>#DIV/0!</v>
      </c>
    </row>
    <row r="94" spans="1:4" ht="45">
      <c r="A94" s="15" t="str">
        <f>'Validation List'!H8</f>
        <v>The waiting times for an appointment were too long.</v>
      </c>
      <c r="B94" s="16">
        <f>COUNTIFS(Table2[What is your age category?],Condition_1,Table2[Please tell us about your experience accessing the service today?],A94)</f>
        <v>0</v>
      </c>
      <c r="C94" s="17" t="e">
        <f t="shared" si="11"/>
        <v>#DIV/0!</v>
      </c>
      <c r="D94" s="17" t="e">
        <f>B94/(No_who_answered_survey-COUNTIFS(Table2[What is your age category?],Condition_1,Table2[Please tell us about your experience accessing the service today?],"Not answered"))*100</f>
        <v>#DIV/0!</v>
      </c>
    </row>
    <row r="95" spans="1:4" ht="60">
      <c r="A95" s="15" t="str">
        <f>'Validation List'!H9</f>
        <v>The service I needed had not been available within the primary care team until now.</v>
      </c>
      <c r="B95" s="16">
        <f>COUNTIFS(Table2[What is your age category?],Condition_1,Table2[Please tell us about your experience accessing the service today?],A95)</f>
        <v>0</v>
      </c>
      <c r="C95" s="17" t="e">
        <f t="shared" si="11"/>
        <v>#DIV/0!</v>
      </c>
      <c r="D95" s="17" t="e">
        <f>B95/(No_who_answered_survey-COUNTIFS(Table2[What is your age category?],Condition_1,Table2[Please tell us about your experience accessing the service today?],"Not answered"))*100</f>
        <v>#DIV/0!</v>
      </c>
    </row>
    <row r="96" spans="1:4" ht="45">
      <c r="A96" s="15" t="str">
        <f>'Validation List'!H10</f>
        <v>I could only get a referral to the service through another service.</v>
      </c>
      <c r="B96" s="16">
        <f>COUNTIFS(Table2[What is your age category?],Condition_1,Table2[Please tell us about your experience accessing the service today?],A96)</f>
        <v>0</v>
      </c>
      <c r="C96" s="17" t="e">
        <f t="shared" si="11"/>
        <v>#DIV/0!</v>
      </c>
      <c r="D96" s="17" t="e">
        <f>B96/(No_who_answered_survey-COUNTIFS(Table2[What is your age category?],Condition_1,Table2[Please tell us about your experience accessing the service today?],"Not answered"))*100</f>
        <v>#DIV/0!</v>
      </c>
    </row>
    <row r="97" spans="1:4">
      <c r="A97" s="15" t="str">
        <f>'Validation List'!H11</f>
        <v>Other difficulty</v>
      </c>
      <c r="B97" s="16">
        <f>COUNTIFS(Table2[What is your age category?],Condition_1,Table2[Please tell us about your experience accessing the service today?],A97)</f>
        <v>0</v>
      </c>
      <c r="C97" s="17" t="e">
        <f t="shared" si="11"/>
        <v>#DIV/0!</v>
      </c>
      <c r="D97" s="17" t="e">
        <f>B97/(No_who_answered_survey-COUNTIFS(Table2[What is your age category?],Condition_1,Table2[Please tell us about your experience accessing the service today?],"Not answered"))*100</f>
        <v>#DIV/0!</v>
      </c>
    </row>
    <row r="98" spans="1:4">
      <c r="A98" s="15" t="str">
        <f>'Validation List'!H12</f>
        <v>More than one difficulty</v>
      </c>
      <c r="B98" s="16">
        <f>COUNTIFS(Table2[What is your age category?],Condition_1,Table2[Please tell us about your experience accessing the service today?],A98)</f>
        <v>0</v>
      </c>
      <c r="C98" s="17" t="e">
        <f t="shared" si="11"/>
        <v>#DIV/0!</v>
      </c>
      <c r="D98" s="17" t="e">
        <f>B98/(No_who_answered_survey-COUNTIFS(Table2[What is your age category?],Condition_1,Table2[Please tell us about your experience accessing the service today?],"Not answered"))*100</f>
        <v>#DIV/0!</v>
      </c>
    </row>
    <row r="99" spans="1:4">
      <c r="A99" s="15" t="str">
        <f>'Validation List'!H15</f>
        <v>Not answered</v>
      </c>
      <c r="B99" s="16">
        <f>COUNTIFS(Table2[What is your age category?],Condition_1,Table2[Please tell us about your experience accessing the service today?],A99)</f>
        <v>0</v>
      </c>
      <c r="C99" s="17" t="e">
        <f t="shared" si="11"/>
        <v>#DIV/0!</v>
      </c>
      <c r="D99" s="17"/>
    </row>
    <row r="100" spans="1:4">
      <c r="A100" s="15" t="s">
        <v>39</v>
      </c>
      <c r="B100" s="16">
        <f>SUM(B92:B99)</f>
        <v>0</v>
      </c>
      <c r="C100" s="17" t="e">
        <f>SUM(C92:C99)</f>
        <v>#DIV/0!</v>
      </c>
      <c r="D100" s="17" t="e">
        <f>SUM(D92:D99)</f>
        <v>#DIV/0!</v>
      </c>
    </row>
    <row r="101" spans="1:4">
      <c r="A101" s="18"/>
      <c r="B101" s="13"/>
      <c r="C101" s="22"/>
      <c r="D101" s="22"/>
    </row>
    <row r="102" spans="1:4">
      <c r="A102" s="18"/>
      <c r="B102" s="13"/>
      <c r="C102" s="22"/>
      <c r="D102" s="22"/>
    </row>
    <row r="103" spans="1:4" ht="27" customHeight="1">
      <c r="A103" s="50" t="str">
        <f>'Validation List'!I3</f>
        <v>Place of patient's appointment</v>
      </c>
      <c r="B103" s="50"/>
      <c r="C103" s="50"/>
      <c r="D103" s="51"/>
    </row>
    <row r="104" spans="1:4">
      <c r="A104" s="15"/>
      <c r="B104" s="16" t="s">
        <v>37</v>
      </c>
      <c r="C104" s="17" t="s">
        <v>38</v>
      </c>
      <c r="D104" s="17" t="s">
        <v>42</v>
      </c>
    </row>
    <row r="105" spans="1:4">
      <c r="A105" s="15" t="str">
        <f>'Validation List'!I6</f>
        <v>Primary Care Health Centre</v>
      </c>
      <c r="B105" s="16">
        <f>COUNTIFS(Table2[What is your age category?],Condition_1,Table2[Where did your appointment take place?],A105)</f>
        <v>0</v>
      </c>
      <c r="C105" s="17" t="e">
        <f t="shared" ref="C105" si="12">B105/No_who_answered_survey*100</f>
        <v>#DIV/0!</v>
      </c>
      <c r="D105" s="17" t="e">
        <f>B105/(No_who_answered_survey-COUNTIFS(Table2[What is your age category?],Condition_1,Table2[Where did your appointment take place?],"Not answered"))*100</f>
        <v>#DIV/0!</v>
      </c>
    </row>
    <row r="106" spans="1:4">
      <c r="A106" s="15" t="str">
        <f>'Validation List'!I7</f>
        <v>GP Surgery</v>
      </c>
      <c r="B106" s="16">
        <f>COUNTIFS(Table2[What is your age category?],Condition_1,Table2[Where did your appointment take place?],A106)</f>
        <v>0</v>
      </c>
      <c r="C106" s="17" t="e">
        <f t="shared" ref="C106:C109" si="13">B106/No_who_answered_survey*100</f>
        <v>#DIV/0!</v>
      </c>
      <c r="D106" s="17" t="e">
        <f>B106/(No_who_answered_survey-COUNTIFS(Table2[What is your age category?],Condition_1,Table2[Where did your appointment take place?],"Not answered"))*100</f>
        <v>#DIV/0!</v>
      </c>
    </row>
    <row r="107" spans="1:4">
      <c r="A107" s="15" t="str">
        <f>'Validation List'!I8</f>
        <v>Patient's Home</v>
      </c>
      <c r="B107" s="16">
        <f>COUNTIFS(Table2[What is your age category?],Condition_1,Table2[Where did your appointment take place?],A107)</f>
        <v>0</v>
      </c>
      <c r="C107" s="17" t="e">
        <f t="shared" si="13"/>
        <v>#DIV/0!</v>
      </c>
      <c r="D107" s="17" t="e">
        <f>B107/(No_who_answered_survey-COUNTIFS(Table2[What is your age category?],Condition_1,Table2[Where did your appointment take place?],"Not answered"))*100</f>
        <v>#DIV/0!</v>
      </c>
    </row>
    <row r="108" spans="1:4">
      <c r="A108" s="15" t="str">
        <f>'Validation List'!I9</f>
        <v>Another location</v>
      </c>
      <c r="B108" s="16">
        <f>COUNTIFS(Table2[What is your age category?],Condition_1,Table2[Where did your appointment take place?],A108)</f>
        <v>0</v>
      </c>
      <c r="C108" s="17" t="e">
        <f t="shared" si="13"/>
        <v>#DIV/0!</v>
      </c>
      <c r="D108" s="17" t="e">
        <f>B108/(No_who_answered_survey-COUNTIFS(Table2[What is your age category?],Condition_1,Table2[Where did your appointment take place?],"Not answered"))*100</f>
        <v>#DIV/0!</v>
      </c>
    </row>
    <row r="109" spans="1:4">
      <c r="A109" s="15" t="str">
        <f>'Validation List'!I15</f>
        <v>Not answered</v>
      </c>
      <c r="B109" s="16">
        <f>COUNTIFS(Table2[What is your age category?],Condition_1,Table2[Where did your appointment take place?],A109)</f>
        <v>0</v>
      </c>
      <c r="C109" s="17" t="e">
        <f t="shared" si="13"/>
        <v>#DIV/0!</v>
      </c>
      <c r="D109" s="17"/>
    </row>
    <row r="110" spans="1:4">
      <c r="A110" s="15" t="s">
        <v>39</v>
      </c>
      <c r="B110" s="16">
        <f>SUM(B105:B109)</f>
        <v>0</v>
      </c>
      <c r="C110" s="17" t="e">
        <f>SUM(C105:C109)</f>
        <v>#DIV/0!</v>
      </c>
      <c r="D110" s="17" t="e">
        <f>SUM(D105:D109)</f>
        <v>#DIV/0!</v>
      </c>
    </row>
    <row r="111" spans="1:4">
      <c r="A111" s="18"/>
      <c r="B111" s="13"/>
      <c r="C111" s="22"/>
      <c r="D111" s="22"/>
    </row>
    <row r="112" spans="1:4">
      <c r="A112" s="18"/>
      <c r="B112" s="13"/>
      <c r="C112" s="22"/>
      <c r="D112" s="22"/>
    </row>
    <row r="113" spans="1:4">
      <c r="A113" s="47" t="str">
        <f>'Validation List'!J3</f>
        <v>Suitability of appointment time</v>
      </c>
      <c r="B113" s="48"/>
      <c r="C113" s="48"/>
      <c r="D113" s="49"/>
    </row>
    <row r="114" spans="1:4">
      <c r="A114" s="15"/>
      <c r="B114" s="16" t="s">
        <v>37</v>
      </c>
      <c r="C114" s="17" t="s">
        <v>38</v>
      </c>
      <c r="D114" s="17" t="s">
        <v>42</v>
      </c>
    </row>
    <row r="115" spans="1:4" ht="45">
      <c r="A115" s="15" t="str">
        <f>'Validation List'!J6</f>
        <v>The appointment time given to me was most suitable.</v>
      </c>
      <c r="B115" s="16">
        <f>COUNTIFS(Table2[What is your age category?],Condition_1,Table2[Tell us about the suitability of your appointment time?],A115)</f>
        <v>0</v>
      </c>
      <c r="C115" s="17" t="e">
        <f t="shared" ref="C115" si="14">B115/No_who_answered_survey*100</f>
        <v>#DIV/0!</v>
      </c>
      <c r="D115" s="17" t="e">
        <f>B115/(No_who_answered_survey-COUNTIFS(Table2[What is your age category?],Condition_1,Table2[Tell us about the suitability of your appointment time?],"Not answered"))*100</f>
        <v>#DIV/0!</v>
      </c>
    </row>
    <row r="116" spans="1:4" ht="45">
      <c r="A116" s="15" t="str">
        <f>'Validation List'!J7</f>
        <v>I would have preferred an appointment time before 9am.</v>
      </c>
      <c r="B116" s="16">
        <f>COUNTIFS(Table2[What is your age category?],Condition_1,Table2[Tell us about the suitability of your appointment time?],A116)</f>
        <v>0</v>
      </c>
      <c r="C116" s="17" t="e">
        <f t="shared" ref="C116:C120" si="15">B116/No_who_answered_survey*100</f>
        <v>#DIV/0!</v>
      </c>
      <c r="D116" s="17" t="e">
        <f>B116/(No_who_answered_survey-COUNTIFS(Table2[What is your age category?],Condition_1,Table2[Tell us about the suitability of your appointment time?],"Not answered"))*100</f>
        <v>#DIV/0!</v>
      </c>
    </row>
    <row r="117" spans="1:4" ht="45">
      <c r="A117" s="15" t="str">
        <f>'Validation List'!J8</f>
        <v>I would have preferred an appointment time from 12pm-1pm.</v>
      </c>
      <c r="B117" s="16">
        <f>COUNTIFS(Table2[What is your age category?],Condition_1,Table2[Tell us about the suitability of your appointment time?],A117)</f>
        <v>0</v>
      </c>
      <c r="C117" s="17" t="e">
        <f t="shared" si="15"/>
        <v>#DIV/0!</v>
      </c>
      <c r="D117" s="17" t="e">
        <f>B117/(No_who_answered_survey-COUNTIFS(Table2[What is your age category?],Condition_1,Table2[Tell us about the suitability of your appointment time?],"Not answered"))*100</f>
        <v>#DIV/0!</v>
      </c>
    </row>
    <row r="118" spans="1:4" ht="45">
      <c r="A118" s="15" t="str">
        <f>'Validation List'!J9</f>
        <v>I would have preferred an appointment time from 1pm-2pm.</v>
      </c>
      <c r="B118" s="16">
        <f>COUNTIFS(Table2[What is your age category?],Condition_1,Table2[Tell us about the suitability of your appointment time?],A118)</f>
        <v>0</v>
      </c>
      <c r="C118" s="17" t="e">
        <f t="shared" si="15"/>
        <v>#DIV/0!</v>
      </c>
      <c r="D118" s="17" t="e">
        <f>B118/(No_who_answered_survey-COUNTIFS(Table2[What is your age category?],Condition_1,Table2[Tell us about the suitability of your appointment time?],"Not answered"))*100</f>
        <v>#DIV/0!</v>
      </c>
    </row>
    <row r="119" spans="1:4" ht="45">
      <c r="A119" s="15" t="str">
        <f>'Validation List'!J10</f>
        <v>I would have preferred an appointment time after 5pm.</v>
      </c>
      <c r="B119" s="16">
        <f>COUNTIFS(Table2[What is your age category?],Condition_1,Table2[Tell us about the suitability of your appointment time?],A119)</f>
        <v>0</v>
      </c>
      <c r="C119" s="17" t="e">
        <f t="shared" si="15"/>
        <v>#DIV/0!</v>
      </c>
      <c r="D119" s="17" t="e">
        <f>B119/(No_who_answered_survey-COUNTIFS(Table2[What is your age category?],Condition_1,Table2[Tell us about the suitability of your appointment time?],"Not answered"))*100</f>
        <v>#DIV/0!</v>
      </c>
    </row>
    <row r="120" spans="1:4">
      <c r="A120" s="15" t="str">
        <f>'Validation List'!J15</f>
        <v>Not answered</v>
      </c>
      <c r="B120" s="16">
        <f>COUNTIFS(Table2[What is your age category?],Condition_1,Table2[Tell us about the suitability of your appointment time?],A120)</f>
        <v>0</v>
      </c>
      <c r="C120" s="17" t="e">
        <f t="shared" si="15"/>
        <v>#DIV/0!</v>
      </c>
      <c r="D120" s="17"/>
    </row>
    <row r="121" spans="1:4">
      <c r="A121" s="15" t="s">
        <v>39</v>
      </c>
      <c r="B121" s="16">
        <f>SUM(B115:B120)</f>
        <v>0</v>
      </c>
      <c r="C121" s="17" t="e">
        <f>SUM(C115:C120)</f>
        <v>#DIV/0!</v>
      </c>
      <c r="D121" s="17" t="e">
        <f>SUM(D115:D120)</f>
        <v>#DIV/0!</v>
      </c>
    </row>
    <row r="122" spans="1:4">
      <c r="A122" s="18"/>
      <c r="B122" s="13"/>
      <c r="C122" s="22"/>
      <c r="D122" s="22"/>
    </row>
    <row r="123" spans="1:4">
      <c r="A123" s="18"/>
      <c r="B123" s="13"/>
      <c r="C123" s="22"/>
      <c r="D123" s="22"/>
    </row>
    <row r="124" spans="1:4" ht="27" customHeight="1">
      <c r="A124" s="47" t="str">
        <f>'Validation List'!K3</f>
        <v>Ease of access and use of the building during visit</v>
      </c>
      <c r="B124" s="48"/>
      <c r="C124" s="48"/>
      <c r="D124" s="49"/>
    </row>
    <row r="125" spans="1:4">
      <c r="A125" s="15"/>
      <c r="B125" s="16" t="s">
        <v>37</v>
      </c>
      <c r="C125" s="17" t="s">
        <v>38</v>
      </c>
      <c r="D125" s="17" t="s">
        <v>42</v>
      </c>
    </row>
    <row r="126" spans="1:4">
      <c r="A126" s="15" t="str">
        <f>'Validation List'!K6</f>
        <v>Very easy</v>
      </c>
      <c r="B126" s="16">
        <f>COUNTIFS(Table2[What is your age category?],Condition_1,Table2[How easy was it for you to access and use the building during your visit?],A126)</f>
        <v>0</v>
      </c>
      <c r="C126" s="17" t="e">
        <f t="shared" ref="C126" si="16">B126/No_who_answered_survey*100</f>
        <v>#DIV/0!</v>
      </c>
      <c r="D126" s="17" t="e">
        <f>B126/(No_who_answered_survey-COUNTIFS(Table2[What is your age category?],Condition_1,Table2[How easy was it for you to access and use the building during your visit?],"Not answered")-COUNTIFS(Table2[What is your age category?],Condition_1,Table2[How easy was it for you to access and use the building during your visit?],"N/A"))*100</f>
        <v>#DIV/0!</v>
      </c>
    </row>
    <row r="127" spans="1:4">
      <c r="A127" s="15" t="str">
        <f>'Validation List'!K7</f>
        <v>Easy</v>
      </c>
      <c r="B127" s="16">
        <f>COUNTIFS(Table2[What is your age category?],Condition_1,Table2[How easy was it for you to access and use the building during your visit?],A127)</f>
        <v>0</v>
      </c>
      <c r="C127" s="17" t="e">
        <f t="shared" ref="C127:C131" si="17">B127/No_who_answered_survey*100</f>
        <v>#DIV/0!</v>
      </c>
      <c r="D127" s="17" t="e">
        <f>B127/(No_who_answered_survey-COUNTIFS(Table2[What is your age category?],Condition_1,Table2[How easy was it for you to access and use the building during your visit?],"Not answered")-COUNTIFS(Table2[What is your age category?],Condition_1,Table2[How easy was it for you to access and use the building during your visit?],"N/A"))*100</f>
        <v>#DIV/0!</v>
      </c>
    </row>
    <row r="128" spans="1:4">
      <c r="A128" s="15" t="str">
        <f>'Validation List'!K8</f>
        <v>Difficult</v>
      </c>
      <c r="B128" s="16">
        <f>COUNTIFS(Table2[What is your age category?],Condition_1,Table2[How easy was it for you to access and use the building during your visit?],A128)</f>
        <v>0</v>
      </c>
      <c r="C128" s="17" t="e">
        <f t="shared" si="17"/>
        <v>#DIV/0!</v>
      </c>
      <c r="D128" s="17" t="e">
        <f>B128/(No_who_answered_survey-COUNTIFS(Table2[What is your age category?],Condition_1,Table2[How easy was it for you to access and use the building during your visit?],"Not answered")-COUNTIFS(Table2[What is your age category?],Condition_1,Table2[How easy was it for you to access and use the building during your visit?],"N/A"))*100</f>
        <v>#DIV/0!</v>
      </c>
    </row>
    <row r="129" spans="1:4">
      <c r="A129" s="15" t="str">
        <f>'Validation List'!K9</f>
        <v>Very difficult</v>
      </c>
      <c r="B129" s="16">
        <f>COUNTIFS(Table2[What is your age category?],Condition_1,Table2[How easy was it for you to access and use the building during your visit?],A129)</f>
        <v>0</v>
      </c>
      <c r="C129" s="17" t="e">
        <f t="shared" si="17"/>
        <v>#DIV/0!</v>
      </c>
      <c r="D129" s="17" t="e">
        <f>B129/(No_who_answered_survey-COUNTIFS(Table2[What is your age category?],Condition_1,Table2[How easy was it for you to access and use the building during your visit?],"Not answered")-COUNTIFS(Table2[What is your age category?],Condition_1,Table2[How easy was it for you to access and use the building during your visit?],"N/A"))*100</f>
        <v>#DIV/0!</v>
      </c>
    </row>
    <row r="130" spans="1:4">
      <c r="A130" s="15" t="str">
        <f>'Validation List'!K10</f>
        <v>N/A</v>
      </c>
      <c r="B130" s="16">
        <f>COUNTIFS(Table2[What is your age category?],Condition_1,Table2[How easy was it for you to access and use the building during your visit?],A130)</f>
        <v>0</v>
      </c>
      <c r="C130" s="17" t="e">
        <f t="shared" si="17"/>
        <v>#DIV/0!</v>
      </c>
      <c r="D130" s="17"/>
    </row>
    <row r="131" spans="1:4">
      <c r="A131" s="15" t="str">
        <f>'Validation List'!K15</f>
        <v>Not answered</v>
      </c>
      <c r="B131" s="16">
        <f>COUNTIFS(Table2[What is your age category?],Condition_1,Table2[How easy was it for you to access and use the building during your visit?],A131)</f>
        <v>0</v>
      </c>
      <c r="C131" s="17" t="e">
        <f t="shared" si="17"/>
        <v>#DIV/0!</v>
      </c>
      <c r="D131" s="17"/>
    </row>
    <row r="132" spans="1:4">
      <c r="A132" s="15" t="s">
        <v>39</v>
      </c>
      <c r="B132" s="16">
        <f>SUM(B126:B131)</f>
        <v>0</v>
      </c>
      <c r="C132" s="17" t="e">
        <f>SUM(C126:C131)</f>
        <v>#DIV/0!</v>
      </c>
      <c r="D132" s="17" t="e">
        <f>SUM(D126:D131)</f>
        <v>#DIV/0!</v>
      </c>
    </row>
    <row r="133" spans="1:4">
      <c r="A133" s="18"/>
      <c r="B133" s="13"/>
      <c r="C133" s="22"/>
      <c r="D133" s="22"/>
    </row>
    <row r="134" spans="1:4">
      <c r="A134" s="18"/>
      <c r="B134" s="13"/>
      <c r="C134" s="22"/>
      <c r="D134" s="22"/>
    </row>
    <row r="135" spans="1:4">
      <c r="A135" s="50" t="str">
        <f>'Validation List'!L3</f>
        <v>Buildings and facilities cleanliness and tidiness</v>
      </c>
      <c r="B135" s="50"/>
      <c r="C135" s="50"/>
      <c r="D135" s="51"/>
    </row>
    <row r="136" spans="1:4">
      <c r="A136" s="15"/>
      <c r="B136" s="16" t="s">
        <v>37</v>
      </c>
      <c r="C136" s="17" t="s">
        <v>38</v>
      </c>
      <c r="D136" s="17" t="s">
        <v>42</v>
      </c>
    </row>
    <row r="137" spans="1:4">
      <c r="A137" s="15" t="str">
        <f>'Validation List'!L6</f>
        <v>Yes</v>
      </c>
      <c r="B137" s="16">
        <f>COUNTIFS(Table2[What is your age category?],Condition_1,Table2[Were the buildings and facilities clean and tidy?],A137)</f>
        <v>0</v>
      </c>
      <c r="C137" s="17" t="e">
        <f t="shared" ref="C137" si="18">B137/No_who_answered_survey*100</f>
        <v>#DIV/0!</v>
      </c>
      <c r="D137" s="17" t="e">
        <f>B137/(No_who_answered_survey-COUNTIFS(Table2[What is your age category?],Condition_1,Table2[Were the buildings and facilities clean and tidy?],"Not answered")-COUNTIFS(Table2[What is your age category?],Condition_1,Table2[Were the buildings and facilities clean and tidy?],"N/A"))*100</f>
        <v>#DIV/0!</v>
      </c>
    </row>
    <row r="138" spans="1:4">
      <c r="A138" s="15" t="str">
        <f>'Validation List'!L7</f>
        <v>No</v>
      </c>
      <c r="B138" s="16">
        <f>COUNTIFS(Table2[What is your age category?],Condition_1,Table2[Were the buildings and facilities clean and tidy?],A138)</f>
        <v>0</v>
      </c>
      <c r="C138" s="17" t="e">
        <f t="shared" ref="C138:C140" si="19">B138/No_who_answered_survey*100</f>
        <v>#DIV/0!</v>
      </c>
      <c r="D138" s="17" t="e">
        <f>B138/(No_who_answered_survey-COUNTIFS(Table2[What is your age category?],Condition_1,Table2[Were the buildings and facilities clean and tidy?],"Not answered")-COUNTIFS(Table2[What is your age category?],Condition_1,Table2[Were the buildings and facilities clean and tidy?],"N/A"))*100</f>
        <v>#DIV/0!</v>
      </c>
    </row>
    <row r="139" spans="1:4">
      <c r="A139" s="15" t="str">
        <f>'Validation List'!L8</f>
        <v>N/A</v>
      </c>
      <c r="B139" s="16">
        <f>COUNTIFS(Table2[What is your age category?],Condition_1,Table2[Were the buildings and facilities clean and tidy?],A139)</f>
        <v>0</v>
      </c>
      <c r="C139" s="17" t="e">
        <f t="shared" si="19"/>
        <v>#DIV/0!</v>
      </c>
      <c r="D139" s="17"/>
    </row>
    <row r="140" spans="1:4">
      <c r="A140" s="15" t="str">
        <f>'Validation List'!L15</f>
        <v>Not answered</v>
      </c>
      <c r="B140" s="16">
        <f>COUNTIFS(Table2[What is your age category?],Condition_1,Table2[Were the buildings and facilities clean and tidy?],A140)</f>
        <v>0</v>
      </c>
      <c r="C140" s="17" t="e">
        <f t="shared" si="19"/>
        <v>#DIV/0!</v>
      </c>
      <c r="D140" s="17"/>
    </row>
    <row r="141" spans="1:4">
      <c r="A141" s="15" t="s">
        <v>39</v>
      </c>
      <c r="B141" s="16">
        <f>SUM(B137:B140)</f>
        <v>0</v>
      </c>
      <c r="C141" s="17" t="e">
        <f>SUM(C137:C140)</f>
        <v>#DIV/0!</v>
      </c>
      <c r="D141" s="17" t="e">
        <f>SUM(D137:D140)</f>
        <v>#DIV/0!</v>
      </c>
    </row>
    <row r="142" spans="1:4">
      <c r="A142" s="18"/>
      <c r="B142" s="13"/>
      <c r="C142" s="22"/>
      <c r="D142" s="22"/>
    </row>
    <row r="143" spans="1:4">
      <c r="A143" s="18"/>
      <c r="B143" s="13"/>
      <c r="C143" s="22"/>
      <c r="D143" s="22"/>
    </row>
    <row r="144" spans="1:4" ht="26.25" customHeight="1">
      <c r="A144" s="50" t="str">
        <f>'Validation List'!M3</f>
        <v>Time waiting to see the healthcare professional on day of survey</v>
      </c>
      <c r="B144" s="50"/>
      <c r="C144" s="50"/>
      <c r="D144" s="51"/>
    </row>
    <row r="145" spans="1:4">
      <c r="A145" s="15"/>
      <c r="B145" s="16" t="s">
        <v>37</v>
      </c>
      <c r="C145" s="17" t="s">
        <v>38</v>
      </c>
      <c r="D145" s="17" t="s">
        <v>42</v>
      </c>
    </row>
    <row r="146" spans="1:4">
      <c r="A146" s="15" t="str">
        <f>'Validation List'!M6</f>
        <v>Less than 15 minutes</v>
      </c>
      <c r="B146" s="16">
        <f>COUNTIFS(Table2[What is your age category?],Condition_1,Table2[How long did you spend waiting to see the healthcare professional today?],A146)</f>
        <v>0</v>
      </c>
      <c r="C146" s="17" t="e">
        <f t="shared" ref="C146" si="20">B146/No_who_answered_survey*100</f>
        <v>#DIV/0!</v>
      </c>
      <c r="D146" s="17" t="e">
        <f>B146/(No_who_answered_survey-COUNTIFS(Table2[What is your age category?],Condition_1,Table2[How long did you spend waiting to see the healthcare professional today?],"Not answered"))*100</f>
        <v>#DIV/0!</v>
      </c>
    </row>
    <row r="147" spans="1:4">
      <c r="A147" s="15" t="str">
        <f>'Validation List'!M7</f>
        <v>15 to 30 minutes</v>
      </c>
      <c r="B147" s="16">
        <f>COUNTIFS(Table2[What is your age category?],Condition_1,Table2[How long did you spend waiting to see the healthcare professional today?],A147)</f>
        <v>0</v>
      </c>
      <c r="C147" s="17" t="e">
        <f t="shared" ref="C147:C150" si="21">B147/No_who_answered_survey*100</f>
        <v>#DIV/0!</v>
      </c>
      <c r="D147" s="17" t="e">
        <f>B147/(No_who_answered_survey-COUNTIFS(Table2[What is your age category?],Condition_1,Table2[How long did you spend waiting to see the healthcare professional today?],"Not answered"))*100</f>
        <v>#DIV/0!</v>
      </c>
    </row>
    <row r="148" spans="1:4">
      <c r="A148" s="15" t="str">
        <f>'Validation List'!M8</f>
        <v>31 to 45 minutes</v>
      </c>
      <c r="B148" s="16">
        <f>COUNTIFS(Table2[What is your age category?],Condition_1,Table2[How long did you spend waiting to see the healthcare professional today?],A148)</f>
        <v>0</v>
      </c>
      <c r="C148" s="17" t="e">
        <f t="shared" si="21"/>
        <v>#DIV/0!</v>
      </c>
      <c r="D148" s="17" t="e">
        <f>B148/(No_who_answered_survey-COUNTIFS(Table2[What is your age category?],Condition_1,Table2[How long did you spend waiting to see the healthcare professional today?],"Not answered"))*100</f>
        <v>#DIV/0!</v>
      </c>
    </row>
    <row r="149" spans="1:4">
      <c r="A149" s="15" t="str">
        <f>'Validation List'!M9</f>
        <v>Over 45 minutes</v>
      </c>
      <c r="B149" s="16">
        <f>COUNTIFS(Table2[What is your age category?],Condition_1,Table2[How long did you spend waiting to see the healthcare professional today?],A149)</f>
        <v>0</v>
      </c>
      <c r="C149" s="17" t="e">
        <f t="shared" si="21"/>
        <v>#DIV/0!</v>
      </c>
      <c r="D149" s="17" t="e">
        <f>B149/(No_who_answered_survey-COUNTIFS(Table2[What is your age category?],Condition_1,Table2[How long did you spend waiting to see the healthcare professional today?],"Not answered"))*100</f>
        <v>#DIV/0!</v>
      </c>
    </row>
    <row r="150" spans="1:4">
      <c r="A150" s="15" t="str">
        <f>'Validation List'!M15</f>
        <v>Not answered</v>
      </c>
      <c r="B150" s="16">
        <f>COUNTIFS(Table2[What is your age category?],Condition_1,Table2[How long did you spend waiting to see the healthcare professional today?],A150)</f>
        <v>0</v>
      </c>
      <c r="C150" s="17" t="e">
        <f t="shared" si="21"/>
        <v>#DIV/0!</v>
      </c>
      <c r="D150" s="17"/>
    </row>
    <row r="151" spans="1:4">
      <c r="A151" s="15" t="s">
        <v>39</v>
      </c>
      <c r="B151" s="16">
        <f>SUM(B146:B150)</f>
        <v>0</v>
      </c>
      <c r="C151" s="17" t="e">
        <f>SUM(C146:C150)</f>
        <v>#DIV/0!</v>
      </c>
      <c r="D151" s="17" t="e">
        <f>SUM(D146:D150)</f>
        <v>#DIV/0!</v>
      </c>
    </row>
    <row r="152" spans="1:4">
      <c r="A152" s="18"/>
      <c r="B152" s="13"/>
      <c r="C152" s="22"/>
      <c r="D152" s="22"/>
    </row>
    <row r="153" spans="1:4">
      <c r="A153" s="18"/>
      <c r="B153" s="13"/>
      <c r="C153" s="22"/>
      <c r="D153" s="22"/>
    </row>
    <row r="154" spans="1:4">
      <c r="A154" s="50" t="str">
        <f>'Validation List'!N3</f>
        <v>Healthcare professional washed or cleaned their hands prior to patient contact</v>
      </c>
      <c r="B154" s="50"/>
      <c r="C154" s="50"/>
      <c r="D154" s="51"/>
    </row>
    <row r="155" spans="1:4">
      <c r="A155" s="15"/>
      <c r="B155" s="16" t="s">
        <v>37</v>
      </c>
      <c r="C155" s="17" t="s">
        <v>38</v>
      </c>
      <c r="D155" s="17" t="s">
        <v>42</v>
      </c>
    </row>
    <row r="156" spans="1:4">
      <c r="A156" s="15" t="str">
        <f>'Validation List'!N6</f>
        <v>Yes</v>
      </c>
      <c r="B156" s="16">
        <f>COUNTIFS(Table2[What is your age category?],Condition_1,Table2[Did the healthcare professional wash or clean their hands when coming into contact with you?],A156)</f>
        <v>0</v>
      </c>
      <c r="C156" s="17" t="e">
        <f t="shared" ref="C156:C159" si="22">B156/No_who_answered_survey*100</f>
        <v>#DIV/0!</v>
      </c>
      <c r="D156" s="17" t="e">
        <f>B156/(No_who_answered_survey-COUNTIFS(Table2[What is your age category?],Condition_1,Table2[Did the healthcare professional wash or clean their hands when coming into contact with you?],"Not answered"))*100</f>
        <v>#DIV/0!</v>
      </c>
    </row>
    <row r="157" spans="1:4">
      <c r="A157" s="15" t="str">
        <f>'Validation List'!N7</f>
        <v>No</v>
      </c>
      <c r="B157" s="16">
        <f>COUNTIFS(Table2[What is your age category?],Condition_1,Table2[Did the healthcare professional wash or clean their hands when coming into contact with you?],A157)</f>
        <v>0</v>
      </c>
      <c r="C157" s="17" t="e">
        <f t="shared" si="22"/>
        <v>#DIV/0!</v>
      </c>
      <c r="D157" s="17" t="e">
        <f>B157/(No_who_answered_survey-COUNTIFS(Table2[What is your age category?],Condition_1,Table2[Did the healthcare professional wash or clean their hands when coming into contact with you?],"Not answered"))*100</f>
        <v>#DIV/0!</v>
      </c>
    </row>
    <row r="158" spans="1:4">
      <c r="A158" s="15" t="str">
        <f>'Validation List'!N8</f>
        <v>Can't recall</v>
      </c>
      <c r="B158" s="16">
        <f>COUNTIFS(Table2[What is your age category?],Condition_1,Table2[Did the healthcare professional wash or clean their hands when coming into contact with you?],A158)</f>
        <v>0</v>
      </c>
      <c r="C158" s="17" t="e">
        <f t="shared" si="22"/>
        <v>#DIV/0!</v>
      </c>
      <c r="D158" s="17" t="e">
        <f>B158/(No_who_answered_survey-COUNTIFS(Table2[What is your age category?],Condition_1,Table2[Did the healthcare professional wash or clean their hands when coming into contact with you?],"Not answered"))*100</f>
        <v>#DIV/0!</v>
      </c>
    </row>
    <row r="159" spans="1:4">
      <c r="A159" s="15" t="str">
        <f>'Validation List'!N15</f>
        <v>Not answered</v>
      </c>
      <c r="B159" s="16">
        <f>COUNTIFS(Table2[What is your age category?],Condition_1,Table2[Did the healthcare professional wash or clean their hands when coming into contact with you?],A159)</f>
        <v>0</v>
      </c>
      <c r="C159" s="17" t="e">
        <f t="shared" si="22"/>
        <v>#DIV/0!</v>
      </c>
      <c r="D159" s="17"/>
    </row>
    <row r="160" spans="1:4">
      <c r="A160" s="15" t="s">
        <v>39</v>
      </c>
      <c r="B160" s="16">
        <f>SUM(B156:B159)</f>
        <v>0</v>
      </c>
      <c r="C160" s="17" t="e">
        <f>SUM(C156:C159)</f>
        <v>#DIV/0!</v>
      </c>
      <c r="D160" s="17" t="e">
        <f>SUM(D156:D159)</f>
        <v>#DIV/0!</v>
      </c>
    </row>
    <row r="161" spans="1:4">
      <c r="A161" s="18"/>
      <c r="B161" s="13"/>
      <c r="C161" s="22"/>
      <c r="D161" s="22"/>
    </row>
    <row r="162" spans="1:4">
      <c r="A162" s="18"/>
      <c r="B162" s="13"/>
      <c r="C162" s="22"/>
      <c r="D162" s="22"/>
    </row>
    <row r="163" spans="1:4">
      <c r="A163" s="50" t="str">
        <f>'Validation List'!O3</f>
        <v>Healthcare professional introduced themselves to patient</v>
      </c>
      <c r="B163" s="50"/>
      <c r="C163" s="50"/>
      <c r="D163" s="51"/>
    </row>
    <row r="164" spans="1:4">
      <c r="A164" s="15"/>
      <c r="B164" s="16" t="s">
        <v>37</v>
      </c>
      <c r="C164" s="17" t="s">
        <v>38</v>
      </c>
      <c r="D164" s="17" t="s">
        <v>42</v>
      </c>
    </row>
    <row r="165" spans="1:4">
      <c r="A165" s="15" t="str">
        <f>'Validation List'!O6</f>
        <v>Yes</v>
      </c>
      <c r="B165" s="16">
        <f>COUNTIFS(Table2[What is your age category?],Condition_1,Table2[Did the healthcare professional introduce themselves to you?],A165)</f>
        <v>0</v>
      </c>
      <c r="C165" s="17" t="e">
        <f t="shared" ref="C165:C168" si="23">B165/No_who_answered_survey*100</f>
        <v>#DIV/0!</v>
      </c>
      <c r="D165" s="17" t="e">
        <f>B165/(No_who_answered_survey-COUNTIFS(Table2[What is your age category?],Condition_1,Table2[Did the healthcare professional introduce themselves to you?],"Not answered"))*100</f>
        <v>#DIV/0!</v>
      </c>
    </row>
    <row r="166" spans="1:4">
      <c r="A166" s="15" t="str">
        <f>'Validation List'!O7</f>
        <v>No</v>
      </c>
      <c r="B166" s="16">
        <f>COUNTIFS(Table2[What is your age category?],Condition_1,Table2[Did the healthcare professional introduce themselves to you?],A166)</f>
        <v>0</v>
      </c>
      <c r="C166" s="17" t="e">
        <f t="shared" si="23"/>
        <v>#DIV/0!</v>
      </c>
      <c r="D166" s="17" t="e">
        <f>B166/(No_who_answered_survey-COUNTIFS(Table2[What is your age category?],Condition_1,Table2[Did the healthcare professional introduce themselves to you?],"Not answered"))*100</f>
        <v>#DIV/0!</v>
      </c>
    </row>
    <row r="167" spans="1:4">
      <c r="A167" s="15" t="str">
        <f>'Validation List'!O8</f>
        <v>Already known to me</v>
      </c>
      <c r="B167" s="16">
        <f>COUNTIFS(Table2[What is your age category?],Condition_1,Table2[Did the healthcare professional introduce themselves to you?],A167)</f>
        <v>0</v>
      </c>
      <c r="C167" s="17" t="e">
        <f t="shared" si="23"/>
        <v>#DIV/0!</v>
      </c>
      <c r="D167" s="17" t="e">
        <f>B167/(No_who_answered_survey-COUNTIFS(Table2[What is your age category?],Condition_1,Table2[Did the healthcare professional introduce themselves to you?],"Not answered"))*100</f>
        <v>#DIV/0!</v>
      </c>
    </row>
    <row r="168" spans="1:4">
      <c r="A168" s="15" t="str">
        <f>'Validation List'!O15</f>
        <v>Not answered</v>
      </c>
      <c r="B168" s="16">
        <f>COUNTIFS(Table2[What is your age category?],Condition_1,Table2[Did the healthcare professional introduce themselves to you?],A168)</f>
        <v>0</v>
      </c>
      <c r="C168" s="17" t="e">
        <f t="shared" si="23"/>
        <v>#DIV/0!</v>
      </c>
      <c r="D168" s="17"/>
    </row>
    <row r="169" spans="1:4">
      <c r="A169" s="15" t="s">
        <v>39</v>
      </c>
      <c r="B169" s="16">
        <f>SUM(B165:B168)</f>
        <v>0</v>
      </c>
      <c r="C169" s="17" t="e">
        <f>SUM(C165:C168)</f>
        <v>#DIV/0!</v>
      </c>
      <c r="D169" s="17" t="e">
        <f>SUM(D165:D168)</f>
        <v>#DIV/0!</v>
      </c>
    </row>
    <row r="170" spans="1:4">
      <c r="A170" s="18"/>
      <c r="B170" s="13"/>
      <c r="C170" s="22"/>
      <c r="D170" s="22"/>
    </row>
    <row r="171" spans="1:4">
      <c r="A171" s="18"/>
      <c r="B171" s="13"/>
      <c r="C171" s="22"/>
      <c r="D171" s="22"/>
    </row>
    <row r="172" spans="1:4" ht="27" customHeight="1">
      <c r="A172" s="50" t="str">
        <f>'Validation List'!P3</f>
        <v>Patient felt treated with kindness and respect during visit</v>
      </c>
      <c r="B172" s="50"/>
      <c r="C172" s="50"/>
      <c r="D172" s="51"/>
    </row>
    <row r="173" spans="1:4">
      <c r="A173" s="15"/>
      <c r="B173" s="16" t="s">
        <v>37</v>
      </c>
      <c r="C173" s="17" t="s">
        <v>38</v>
      </c>
      <c r="D173" s="17" t="s">
        <v>42</v>
      </c>
    </row>
    <row r="174" spans="1:4">
      <c r="A174" s="15" t="str">
        <f>'Validation List'!P6</f>
        <v>Yes</v>
      </c>
      <c r="B174" s="16">
        <f>COUNTIFS(Table2[What is your age category?],Condition_1,Table2[Were you treated with kindness and respect during your visit?],A174)</f>
        <v>0</v>
      </c>
      <c r="C174" s="17" t="e">
        <f t="shared" ref="C174:C176" si="24">B174/No_who_answered_survey*100</f>
        <v>#DIV/0!</v>
      </c>
      <c r="D174" s="17" t="e">
        <f>B174/(No_who_answered_survey-COUNTIFS(Table2[What is your age category?],Condition_1,Table2[Were you treated with kindness and respect during your visit?],"Not answered"))*100</f>
        <v>#DIV/0!</v>
      </c>
    </row>
    <row r="175" spans="1:4">
      <c r="A175" s="15" t="str">
        <f>'Validation List'!P7</f>
        <v>No</v>
      </c>
      <c r="B175" s="16">
        <f>COUNTIFS(Table2[What is your age category?],Condition_1,Table2[Were you treated with kindness and respect during your visit?],A175)</f>
        <v>0</v>
      </c>
      <c r="C175" s="17" t="e">
        <f t="shared" si="24"/>
        <v>#DIV/0!</v>
      </c>
      <c r="D175" s="17" t="e">
        <f>B175/(No_who_answered_survey-COUNTIFS(Table2[What is your age category?],Condition_1,Table2[Were you treated with kindness and respect during your visit?],"Not answered"))*100</f>
        <v>#DIV/0!</v>
      </c>
    </row>
    <row r="176" spans="1:4">
      <c r="A176" s="15" t="str">
        <f>'Validation List'!P15</f>
        <v>Not answered</v>
      </c>
      <c r="B176" s="16">
        <f>COUNTIFS(Table2[What is your age category?],Condition_1,Table2[Were you treated with kindness and respect during your visit?],A176)</f>
        <v>0</v>
      </c>
      <c r="C176" s="17" t="e">
        <f t="shared" si="24"/>
        <v>#DIV/0!</v>
      </c>
      <c r="D176" s="17"/>
    </row>
    <row r="177" spans="1:4">
      <c r="A177" s="15" t="s">
        <v>39</v>
      </c>
      <c r="B177" s="16">
        <f>SUM(B174:B176)</f>
        <v>0</v>
      </c>
      <c r="C177" s="17" t="e">
        <f>SUM(C174:C176)</f>
        <v>#DIV/0!</v>
      </c>
      <c r="D177" s="17" t="e">
        <f>SUM(D174:D176)</f>
        <v>#DIV/0!</v>
      </c>
    </row>
    <row r="178" spans="1:4">
      <c r="A178" s="18"/>
      <c r="B178" s="13"/>
      <c r="C178" s="22"/>
      <c r="D178" s="22"/>
    </row>
    <row r="179" spans="1:4">
      <c r="A179" s="18"/>
      <c r="B179" s="13"/>
      <c r="C179" s="22"/>
      <c r="D179" s="22"/>
    </row>
    <row r="180" spans="1:4" ht="20.25" customHeight="1">
      <c r="A180" s="47" t="str">
        <f>'Validation List'!Q3</f>
        <v>Satisfaction with the level of privacy provided during appointment</v>
      </c>
      <c r="B180" s="48"/>
      <c r="C180" s="48"/>
      <c r="D180" s="49"/>
    </row>
    <row r="181" spans="1:4">
      <c r="A181" s="15"/>
      <c r="B181" s="16" t="s">
        <v>37</v>
      </c>
      <c r="C181" s="17" t="s">
        <v>38</v>
      </c>
      <c r="D181" s="17" t="s">
        <v>42</v>
      </c>
    </row>
    <row r="182" spans="1:4">
      <c r="A182" s="15" t="str">
        <f>'Validation List'!Q6</f>
        <v>Yes</v>
      </c>
      <c r="B182" s="16">
        <f>COUNTIFS(Table2[What is your age category?],Condition_1,Table2[Were you satisfied with the level of privacy provided to you during your appointment?],A182)</f>
        <v>0</v>
      </c>
      <c r="C182" s="17" t="e">
        <f t="shared" ref="C182:C184" si="25">B182/No_who_answered_survey*100</f>
        <v>#DIV/0!</v>
      </c>
      <c r="D182" s="17" t="e">
        <f>B182/(No_who_answered_survey-COUNTIFS(Table2[What is your age category?],Condition_1,Table2[Were you satisfied with the level of privacy provided to you during your appointment?],"Not answered"))*100</f>
        <v>#DIV/0!</v>
      </c>
    </row>
    <row r="183" spans="1:4">
      <c r="A183" s="15" t="str">
        <f>'Validation List'!Q7</f>
        <v>No</v>
      </c>
      <c r="B183" s="16">
        <f>COUNTIFS(Table2[What is your age category?],Condition_1,Table2[Were you satisfied with the level of privacy provided to you during your appointment?],A183)</f>
        <v>0</v>
      </c>
      <c r="C183" s="17" t="e">
        <f t="shared" si="25"/>
        <v>#DIV/0!</v>
      </c>
      <c r="D183" s="17" t="e">
        <f>B183/(No_who_answered_survey-COUNTIFS(Table2[What is your age category?],Condition_1,Table2[Were you satisfied with the level of privacy provided to you during your appointment?],"Not answered"))*100</f>
        <v>#DIV/0!</v>
      </c>
    </row>
    <row r="184" spans="1:4">
      <c r="A184" s="15" t="str">
        <f>'Validation List'!Q15</f>
        <v>Not answered</v>
      </c>
      <c r="B184" s="16">
        <f>COUNTIFS(Table2[What is your age category?],Condition_1,Table2[Were you satisfied with the level of privacy provided to you during your appointment?],A184)</f>
        <v>0</v>
      </c>
      <c r="C184" s="17" t="e">
        <f t="shared" si="25"/>
        <v>#DIV/0!</v>
      </c>
      <c r="D184" s="17"/>
    </row>
    <row r="185" spans="1:4">
      <c r="A185" s="15" t="s">
        <v>39</v>
      </c>
      <c r="B185" s="16">
        <f>SUM(B182:B184)</f>
        <v>0</v>
      </c>
      <c r="C185" s="17" t="e">
        <f>SUM(C182:C184)</f>
        <v>#DIV/0!</v>
      </c>
      <c r="D185" s="17" t="e">
        <f>SUM(D182:D184)</f>
        <v>#DIV/0!</v>
      </c>
    </row>
    <row r="186" spans="1:4">
      <c r="A186" s="18"/>
      <c r="B186" s="13"/>
      <c r="C186" s="22"/>
      <c r="D186" s="22"/>
    </row>
    <row r="187" spans="1:4">
      <c r="A187" s="18"/>
      <c r="B187" s="13"/>
      <c r="C187" s="22"/>
      <c r="D187" s="22"/>
    </row>
    <row r="188" spans="1:4">
      <c r="A188" s="50" t="str">
        <f>'Validation List'!R3</f>
        <v>It was explained that, if relevant to overall care, patients information may be shared with other PCT members
about you with other members of the Primary Care Team?</v>
      </c>
      <c r="B188" s="50"/>
      <c r="C188" s="50"/>
      <c r="D188" s="51"/>
    </row>
    <row r="189" spans="1:4">
      <c r="A189" s="15"/>
      <c r="B189" s="16" t="s">
        <v>37</v>
      </c>
      <c r="C189" s="17" t="s">
        <v>38</v>
      </c>
      <c r="D189" s="17" t="s">
        <v>42</v>
      </c>
    </row>
    <row r="190" spans="1:4">
      <c r="A190" s="15" t="str">
        <f>'Validation List'!R6</f>
        <v>Yes</v>
      </c>
      <c r="B190" s="16">
        <f>COUNTIFS(Table2[What is your age category?],Condition_1,Table2[Was it explained to you that, if relevant to your overall care, we may need to share information
about you with other members of the Primary Care Team?],A190)</f>
        <v>0</v>
      </c>
      <c r="C190" s="17" t="e">
        <f t="shared" ref="C190:C193" si="26">B190/No_who_answered_survey*100</f>
        <v>#DIV/0!</v>
      </c>
      <c r="D190" s="17" t="e">
        <f>B190/(No_who_answered_survey-COUNTIFS(Table2[What is your age category?],Condition_1,Table2[Was it explained to you that, if relevant to your overall care, we may need to share information
about you with other members of the Primary Care Team?],"Not answered"))*100</f>
        <v>#DIV/0!</v>
      </c>
    </row>
    <row r="191" spans="1:4">
      <c r="A191" s="15" t="str">
        <f>'Validation List'!R7</f>
        <v>No</v>
      </c>
      <c r="B191" s="16">
        <f>COUNTIFS(Table2[What is your age category?],Condition_1,Table2[Was it explained to you that, if relevant to your overall care, we may need to share information
about you with other members of the Primary Care Team?],A191)</f>
        <v>0</v>
      </c>
      <c r="C191" s="17" t="e">
        <f t="shared" si="26"/>
        <v>#DIV/0!</v>
      </c>
      <c r="D191" s="17" t="e">
        <f>B191/(No_who_answered_survey-COUNTIFS(Table2[What is your age category?],Condition_1,Table2[Was it explained to you that, if relevant to your overall care, we may need to share information
about you with other members of the Primary Care Team?],"Not answered"))*100</f>
        <v>#DIV/0!</v>
      </c>
    </row>
    <row r="192" spans="1:4">
      <c r="A192" s="15" t="str">
        <f>'Validation List'!R8</f>
        <v>Not sure</v>
      </c>
      <c r="B192" s="16">
        <f>COUNTIFS(Table2[What is your age category?],Condition_1,Table2[Was it explained to you that, if relevant to your overall care, we may need to share information
about you with other members of the Primary Care Team?],A192)</f>
        <v>0</v>
      </c>
      <c r="C192" s="17" t="e">
        <f t="shared" si="26"/>
        <v>#DIV/0!</v>
      </c>
      <c r="D192" s="17" t="e">
        <f>B192/(No_who_answered_survey-COUNTIFS(Table2[What is your age category?],Condition_1,Table2[Was it explained to you that, if relevant to your overall care, we may need to share information
about you with other members of the Primary Care Team?],"Not answered"))*100</f>
        <v>#DIV/0!</v>
      </c>
    </row>
    <row r="193" spans="1:4">
      <c r="A193" s="15" t="str">
        <f>'Validation List'!R15</f>
        <v>Not answered</v>
      </c>
      <c r="B193" s="16">
        <f>COUNTIFS(Table2[What is your age category?],Condition_1,Table2[Was it explained to you that, if relevant to your overall care, we may need to share information
about you with other members of the Primary Care Team?],A193)</f>
        <v>0</v>
      </c>
      <c r="C193" s="17" t="e">
        <f t="shared" si="26"/>
        <v>#DIV/0!</v>
      </c>
      <c r="D193" s="17"/>
    </row>
    <row r="194" spans="1:4">
      <c r="A194" s="15" t="s">
        <v>39</v>
      </c>
      <c r="B194" s="16">
        <f>SUM(B190:B193)</f>
        <v>0</v>
      </c>
      <c r="C194" s="17" t="e">
        <f>SUM(C190:C193)</f>
        <v>#DIV/0!</v>
      </c>
      <c r="D194" s="17" t="e">
        <f>SUM(D190:D193)</f>
        <v>#DIV/0!</v>
      </c>
    </row>
    <row r="195" spans="1:4">
      <c r="A195" s="18"/>
      <c r="B195" s="13"/>
      <c r="C195" s="22"/>
      <c r="D195" s="22"/>
    </row>
    <row r="196" spans="1:4">
      <c r="A196" s="18"/>
      <c r="B196" s="13"/>
      <c r="C196" s="22"/>
      <c r="D196" s="22"/>
    </row>
    <row r="197" spans="1:4">
      <c r="A197" s="50" t="str">
        <f>'Validation List'!S3</f>
        <v>Advice and information provided during appointment was easy to understand</v>
      </c>
      <c r="B197" s="50"/>
      <c r="C197" s="50"/>
      <c r="D197" s="51"/>
    </row>
    <row r="198" spans="1:4">
      <c r="A198" s="15"/>
      <c r="B198" s="16" t="s">
        <v>37</v>
      </c>
      <c r="C198" s="17" t="s">
        <v>38</v>
      </c>
      <c r="D198" s="17" t="s">
        <v>42</v>
      </c>
    </row>
    <row r="199" spans="1:4">
      <c r="A199" s="15" t="str">
        <f>'Validation List'!S6</f>
        <v>Yes</v>
      </c>
      <c r="B199" s="16">
        <f>COUNTIFS(Table2[What is your age category?],Condition_1,Table2[Was the advice and information provided by the healthcare professional during your
appointment today easy to understand?],A199)</f>
        <v>0</v>
      </c>
      <c r="C199" s="17" t="e">
        <f t="shared" ref="C199:C202" si="27">B199/No_who_answered_survey*100</f>
        <v>#DIV/0!</v>
      </c>
      <c r="D199" s="17" t="e">
        <f>B199/(No_who_answered_survey-COUNTIFS(Table2[What is your age category?],Condition_1,Table2[Was the advice and information provided by the healthcare professional during your
appointment today easy to understand?],"Not answered")-COUNTIFS(Table2[What is your age category?],Condition_1,Table2[Was the advice and information provided by the healthcare professional during your
appointment today easy to understand?],"Not Applicable"))*100</f>
        <v>#DIV/0!</v>
      </c>
    </row>
    <row r="200" spans="1:4">
      <c r="A200" s="15" t="str">
        <f>'Validation List'!S7</f>
        <v>No</v>
      </c>
      <c r="B200" s="16">
        <f>COUNTIFS(Table2[What is your age category?],Condition_1,Table2[Was the advice and information provided by the healthcare professional during your
appointment today easy to understand?],A200)</f>
        <v>0</v>
      </c>
      <c r="C200" s="17" t="e">
        <f t="shared" si="27"/>
        <v>#DIV/0!</v>
      </c>
      <c r="D200" s="17" t="e">
        <f>B200/(No_who_answered_survey-COUNTIFS(Table2[What is your age category?],Condition_1,Table2[Was the advice and information provided by the healthcare professional during your
appointment today easy to understand?],"Not answered")-COUNTIFS(Table2[What is your age category?],Condition_1,Table2[Was the advice and information provided by the healthcare professional during your
appointment today easy to understand?],"Not Applicable"))*100</f>
        <v>#DIV/0!</v>
      </c>
    </row>
    <row r="201" spans="1:4">
      <c r="A201" s="15" t="str">
        <f>'Validation List'!S8</f>
        <v>Not Applicable</v>
      </c>
      <c r="B201" s="16">
        <f>COUNTIFS(Table2[What is your age category?],Condition_1,Table2[Was the advice and information provided by the healthcare professional during your
appointment today easy to understand?],A201)</f>
        <v>0</v>
      </c>
      <c r="C201" s="17" t="e">
        <f t="shared" si="27"/>
        <v>#DIV/0!</v>
      </c>
      <c r="D201" s="17"/>
    </row>
    <row r="202" spans="1:4">
      <c r="A202" s="15" t="str">
        <f>'Validation List'!S15</f>
        <v>Not answered</v>
      </c>
      <c r="B202" s="16">
        <f>COUNTIFS(Table2[What is your age category?],Condition_1,Table2[Was the advice and information provided by the healthcare professional during your
appointment today easy to understand?],A202)</f>
        <v>0</v>
      </c>
      <c r="C202" s="17" t="e">
        <f t="shared" si="27"/>
        <v>#DIV/0!</v>
      </c>
      <c r="D202" s="17"/>
    </row>
    <row r="203" spans="1:4">
      <c r="A203" s="15" t="s">
        <v>39</v>
      </c>
      <c r="B203" s="16">
        <f>SUM(B199:B202)</f>
        <v>0</v>
      </c>
      <c r="C203" s="17" t="e">
        <f>SUM(C199:C202)</f>
        <v>#DIV/0!</v>
      </c>
      <c r="D203" s="17" t="e">
        <f>SUM(D199:D202)</f>
        <v>#DIV/0!</v>
      </c>
    </row>
    <row r="204" spans="1:4">
      <c r="A204" s="18"/>
      <c r="B204" s="13"/>
      <c r="C204" s="22"/>
      <c r="D204" s="22"/>
    </row>
    <row r="205" spans="1:4">
      <c r="A205" s="18"/>
      <c r="B205" s="13"/>
      <c r="C205" s="22"/>
      <c r="D205" s="22"/>
    </row>
    <row r="206" spans="1:4">
      <c r="A206" s="47" t="str">
        <f>'Validation List'!T3</f>
        <v>Enough time provided during appointment to ask questions and discuss your health problems and concerns</v>
      </c>
      <c r="B206" s="48"/>
      <c r="C206" s="48"/>
      <c r="D206" s="49"/>
    </row>
    <row r="207" spans="1:4">
      <c r="A207" s="15"/>
      <c r="B207" s="16" t="s">
        <v>37</v>
      </c>
      <c r="C207" s="17" t="s">
        <v>38</v>
      </c>
      <c r="D207" s="17" t="s">
        <v>42</v>
      </c>
    </row>
    <row r="208" spans="1:4">
      <c r="A208" s="15" t="str">
        <f>'Validation List'!T6</f>
        <v>Yes</v>
      </c>
      <c r="B208" s="16">
        <f>COUNTIFS(Table2[What is your age category?],Condition_1,Table2[Did you have enough time during your appointment to ask questions and discuss your health
problems and concerns?],A208)</f>
        <v>0</v>
      </c>
      <c r="C208" s="17" t="e">
        <f t="shared" ref="C208:C210" si="28">B208/No_who_answered_survey*100</f>
        <v>#DIV/0!</v>
      </c>
      <c r="D208" s="17" t="e">
        <f>B208/(No_who_answered_survey-COUNTIFS(Table2[What is your age category?],Condition_1,Table2[Did you have enough time during your appointment to ask questions and discuss your health
problems and concerns?],"Not answered"))*100</f>
        <v>#DIV/0!</v>
      </c>
    </row>
    <row r="209" spans="1:4">
      <c r="A209" s="15" t="str">
        <f>'Validation List'!T7</f>
        <v>No</v>
      </c>
      <c r="B209" s="16">
        <f>COUNTIFS(Table2[What is your age category?],Condition_1,Table2[Did you have enough time during your appointment to ask questions and discuss your health
problems and concerns?],A209)</f>
        <v>0</v>
      </c>
      <c r="C209" s="17" t="e">
        <f t="shared" si="28"/>
        <v>#DIV/0!</v>
      </c>
      <c r="D209" s="17" t="e">
        <f>B209/(No_who_answered_survey-COUNTIFS(Table2[What is your age category?],Condition_1,Table2[Did you have enough time during your appointment to ask questions and discuss your health
problems and concerns?],"Not answered"))*100</f>
        <v>#DIV/0!</v>
      </c>
    </row>
    <row r="210" spans="1:4">
      <c r="A210" s="15" t="str">
        <f>'Validation List'!T15</f>
        <v>Not answered</v>
      </c>
      <c r="B210" s="16">
        <f>COUNTIFS(Table2[What is your age category?],Condition_1,Table2[Did you have enough time during your appointment to ask questions and discuss your health
problems and concerns?],A210)</f>
        <v>0</v>
      </c>
      <c r="C210" s="17" t="e">
        <f t="shared" si="28"/>
        <v>#DIV/0!</v>
      </c>
      <c r="D210" s="17"/>
    </row>
    <row r="211" spans="1:4">
      <c r="A211" s="15" t="s">
        <v>39</v>
      </c>
      <c r="B211" s="16">
        <f>SUM(B208:B210)</f>
        <v>0</v>
      </c>
      <c r="C211" s="17" t="e">
        <f>SUM(C208:C210)</f>
        <v>#DIV/0!</v>
      </c>
      <c r="D211" s="17" t="e">
        <f>SUM(D208:D210)</f>
        <v>#DIV/0!</v>
      </c>
    </row>
    <row r="212" spans="1:4">
      <c r="A212" s="18"/>
      <c r="B212" s="13"/>
      <c r="C212" s="22"/>
      <c r="D212" s="22"/>
    </row>
    <row r="213" spans="1:4">
      <c r="A213" s="18"/>
      <c r="B213" s="13"/>
      <c r="C213" s="22"/>
      <c r="D213" s="22"/>
    </row>
    <row r="214" spans="1:4" ht="27" customHeight="1">
      <c r="A214" s="47" t="str">
        <f>'Validation List'!U3</f>
        <v>Were you involved in making decisions about your care and treatment?</v>
      </c>
      <c r="B214" s="48"/>
      <c r="C214" s="48"/>
      <c r="D214" s="49"/>
    </row>
    <row r="215" spans="1:4">
      <c r="A215" s="15"/>
      <c r="B215" s="16" t="s">
        <v>37</v>
      </c>
      <c r="C215" s="17" t="s">
        <v>38</v>
      </c>
      <c r="D215" s="17" t="s">
        <v>42</v>
      </c>
    </row>
    <row r="216" spans="1:4">
      <c r="A216" s="15" t="str">
        <f>'Validation List'!U6</f>
        <v>Yes</v>
      </c>
      <c r="B216" s="16">
        <f>COUNTIFS(Table2[What is your age category?],Condition_1,Table2[Were you involved in making decisions about your care and treatment?],A216)</f>
        <v>0</v>
      </c>
      <c r="C216" s="17" t="e">
        <f t="shared" ref="C216:C218" si="29">B216/No_who_answered_survey*100</f>
        <v>#DIV/0!</v>
      </c>
      <c r="D216" s="17" t="e">
        <f>B216/(No_who_answered_survey-COUNTIFS(Table2[What is your age category?],Condition_1,Table2[Were you involved in making decisions about your care and treatment?],"Not answered"))*100</f>
        <v>#DIV/0!</v>
      </c>
    </row>
    <row r="217" spans="1:4">
      <c r="A217" s="15" t="str">
        <f>'Validation List'!U7</f>
        <v>No</v>
      </c>
      <c r="B217" s="16">
        <f>COUNTIFS(Table2[What is your age category?],Condition_1,Table2[Were you involved in making decisions about your care and treatment?],A217)</f>
        <v>0</v>
      </c>
      <c r="C217" s="17" t="e">
        <f t="shared" si="29"/>
        <v>#DIV/0!</v>
      </c>
      <c r="D217" s="17" t="e">
        <f>B217/(No_who_answered_survey-COUNTIFS(Table2[What is your age category?],Condition_1,Table2[Were you involved in making decisions about your care and treatment?],"Not answered"))*100</f>
        <v>#DIV/0!</v>
      </c>
    </row>
    <row r="218" spans="1:4">
      <c r="A218" s="15" t="str">
        <f>'Validation List'!U15</f>
        <v>Not answered</v>
      </c>
      <c r="B218" s="16">
        <f>COUNTIFS(Table2[What is your age category?],Condition_1,Table2[Were you involved in making decisions about your care and treatment?],A218)</f>
        <v>0</v>
      </c>
      <c r="C218" s="17" t="e">
        <f t="shared" si="29"/>
        <v>#DIV/0!</v>
      </c>
      <c r="D218" s="17"/>
    </row>
    <row r="219" spans="1:4">
      <c r="A219" s="15" t="s">
        <v>39</v>
      </c>
      <c r="B219" s="16">
        <f>SUM(B216:B218)</f>
        <v>0</v>
      </c>
      <c r="C219" s="17" t="e">
        <f>SUM(C216:C218)</f>
        <v>#DIV/0!</v>
      </c>
      <c r="D219" s="17" t="e">
        <f>SUM(D216:D218)</f>
        <v>#DIV/0!</v>
      </c>
    </row>
    <row r="220" spans="1:4">
      <c r="A220" s="18"/>
      <c r="B220" s="13"/>
      <c r="C220" s="22"/>
      <c r="D220" s="22"/>
    </row>
    <row r="221" spans="1:4">
      <c r="A221" s="18"/>
      <c r="B221" s="13"/>
      <c r="C221" s="22"/>
      <c r="D221" s="22"/>
    </row>
    <row r="222" spans="1:4">
      <c r="A222" s="47" t="str">
        <f>'Validation List'!V3</f>
        <v>Information or advice received on Quitting smoking during your visit</v>
      </c>
      <c r="B222" s="48"/>
      <c r="C222" s="48"/>
      <c r="D222" s="49"/>
    </row>
    <row r="223" spans="1:4">
      <c r="A223" s="15"/>
      <c r="B223" s="16" t="s">
        <v>37</v>
      </c>
      <c r="C223" s="17" t="s">
        <v>38</v>
      </c>
      <c r="D223" s="17" t="s">
        <v>42</v>
      </c>
    </row>
    <row r="224" spans="1:4">
      <c r="A224" s="15" t="str">
        <f>'Validation List'!V6</f>
        <v>Yes</v>
      </c>
      <c r="B224" s="16">
        <f>COUNTIFS(Table2[What is your age category?],Condition_1,Table2[Did you receive information or advice on Quitting smoking during your visit today?],A224)</f>
        <v>0</v>
      </c>
      <c r="C224" s="17" t="e">
        <f t="shared" ref="C224:C227" si="30">B224/No_who_answered_survey*100</f>
        <v>#DIV/0!</v>
      </c>
      <c r="D224" s="17" t="e">
        <f>B224/(No_who_answered_survey-COUNTIFS(Table2[What is your age category?],Condition_1,Table2[Did you receive information or advice on Quitting smoking during your visit today?],"Not answered")-COUNTIFS(Table2[What is your age category?],Condition_1,Table2[Did you receive information or advice on Quitting smoking during your visit today?],"Not Applicable"))*100</f>
        <v>#DIV/0!</v>
      </c>
    </row>
    <row r="225" spans="1:4">
      <c r="A225" s="15" t="str">
        <f>'Validation List'!V7</f>
        <v>No</v>
      </c>
      <c r="B225" s="16">
        <f>COUNTIFS(Table2[What is your age category?],Condition_1,Table2[Did you receive information or advice on Quitting smoking during your visit today?],A225)</f>
        <v>0</v>
      </c>
      <c r="C225" s="17" t="e">
        <f t="shared" si="30"/>
        <v>#DIV/0!</v>
      </c>
      <c r="D225" s="17" t="e">
        <f>B225/(No_who_answered_survey-COUNTIFS(Table2[What is your age category?],Condition_1,Table2[Did you receive information or advice on Quitting smoking during your visit today?],"Not answered")-COUNTIFS(Table2[What is your age category?],Condition_1,Table2[Did you receive information or advice on Quitting smoking during your visit today?],"Not Applicable"))*100</f>
        <v>#DIV/0!</v>
      </c>
    </row>
    <row r="226" spans="1:4">
      <c r="A226" s="15" t="str">
        <f>'Validation List'!V8</f>
        <v>Not Applicable</v>
      </c>
      <c r="B226" s="16">
        <f>COUNTIFS(Table2[What is your age category?],Condition_1,Table2[Did you receive information or advice on Quitting smoking during your visit today?],A226)</f>
        <v>0</v>
      </c>
      <c r="C226" s="17" t="e">
        <f t="shared" si="30"/>
        <v>#DIV/0!</v>
      </c>
      <c r="D226" s="17"/>
    </row>
    <row r="227" spans="1:4">
      <c r="A227" s="15" t="str">
        <f>'Validation List'!V15</f>
        <v>Not answered</v>
      </c>
      <c r="B227" s="16">
        <f>COUNTIFS(Table2[What is your age category?],Condition_1,Table2[Did you receive information or advice on Quitting smoking during your visit today?],A227)</f>
        <v>0</v>
      </c>
      <c r="C227" s="17" t="e">
        <f t="shared" si="30"/>
        <v>#DIV/0!</v>
      </c>
      <c r="D227" s="17"/>
    </row>
    <row r="228" spans="1:4">
      <c r="A228" s="15" t="s">
        <v>39</v>
      </c>
      <c r="B228" s="16">
        <f>SUM(B224:B227)</f>
        <v>0</v>
      </c>
      <c r="C228" s="17" t="e">
        <f>SUM(C224:C227)</f>
        <v>#DIV/0!</v>
      </c>
      <c r="D228" s="17" t="e">
        <f>SUM(D224:D227)</f>
        <v>#DIV/0!</v>
      </c>
    </row>
    <row r="229" spans="1:4">
      <c r="A229" s="18"/>
      <c r="B229" s="13"/>
      <c r="C229" s="22"/>
      <c r="D229" s="22"/>
    </row>
    <row r="230" spans="1:4">
      <c r="A230" s="18"/>
      <c r="B230" s="13"/>
      <c r="C230" s="22"/>
      <c r="D230" s="22"/>
    </row>
    <row r="231" spans="1:4">
      <c r="A231" s="50" t="str">
        <f>'Validation List'!W3</f>
        <v>Information or advice received  on Losing weight during your visit today</v>
      </c>
      <c r="B231" s="50"/>
      <c r="C231" s="50"/>
      <c r="D231" s="51"/>
    </row>
    <row r="232" spans="1:4">
      <c r="A232" s="15"/>
      <c r="B232" s="16" t="s">
        <v>37</v>
      </c>
      <c r="C232" s="17" t="s">
        <v>38</v>
      </c>
      <c r="D232" s="17" t="s">
        <v>42</v>
      </c>
    </row>
    <row r="233" spans="1:4">
      <c r="A233" s="15" t="str">
        <f>'Validation List'!W6</f>
        <v>Yes</v>
      </c>
      <c r="B233" s="16">
        <f>COUNTIFS(Table2[What is your age category?],Condition_1,Table2[Did you receive information or advice on Losing weight during your visit today?],A233)</f>
        <v>0</v>
      </c>
      <c r="C233" s="17" t="e">
        <f t="shared" ref="C233:C236" si="31">B233/No_who_answered_survey*100</f>
        <v>#DIV/0!</v>
      </c>
      <c r="D233" s="17" t="e">
        <f>B233/(No_who_answered_survey-COUNTIFS(Table2[What is your age category?],Condition_1,Table2[Did you receive information or advice on Losing weight during your visit today?],"Not answered")-COUNTIFS(Table2[What is your age category?],Condition_1,Table2[Did you receive information or advice on Losing weight during your visit today?],"Not Applicable"))*100</f>
        <v>#DIV/0!</v>
      </c>
    </row>
    <row r="234" spans="1:4">
      <c r="A234" s="15" t="str">
        <f>'Validation List'!W7</f>
        <v>No</v>
      </c>
      <c r="B234" s="16">
        <f>COUNTIFS(Table2[What is your age category?],Condition_1,Table2[Did you receive information or advice on Losing weight during your visit today?],A234)</f>
        <v>0</v>
      </c>
      <c r="C234" s="17" t="e">
        <f t="shared" si="31"/>
        <v>#DIV/0!</v>
      </c>
      <c r="D234" s="17" t="e">
        <f>B234/(No_who_answered_survey-COUNTIFS(Table2[What is your age category?],Condition_1,Table2[Did you receive information or advice on Losing weight during your visit today?],"Not answered")-COUNTIFS(Table2[What is your age category?],Condition_1,Table2[Did you receive information or advice on Losing weight during your visit today?],"Not Applicable"))*100</f>
        <v>#DIV/0!</v>
      </c>
    </row>
    <row r="235" spans="1:4">
      <c r="A235" s="15" t="str">
        <f>'Validation List'!W8</f>
        <v>Not Applicable</v>
      </c>
      <c r="B235" s="16">
        <f>COUNTIFS(Table2[What is your age category?],Condition_1,Table2[Did you receive information or advice on Losing weight during your visit today?],A235)</f>
        <v>0</v>
      </c>
      <c r="C235" s="17" t="e">
        <f t="shared" si="31"/>
        <v>#DIV/0!</v>
      </c>
      <c r="D235" s="17"/>
    </row>
    <row r="236" spans="1:4">
      <c r="A236" s="15" t="str">
        <f>'Validation List'!W15</f>
        <v>Not answered</v>
      </c>
      <c r="B236" s="16">
        <f>COUNTIFS(Table2[What is your age category?],Condition_1,Table2[Did you receive information or advice on Losing weight during your visit today?],A236)</f>
        <v>0</v>
      </c>
      <c r="C236" s="17" t="e">
        <f t="shared" si="31"/>
        <v>#DIV/0!</v>
      </c>
      <c r="D236" s="17"/>
    </row>
    <row r="237" spans="1:4">
      <c r="A237" s="15" t="s">
        <v>39</v>
      </c>
      <c r="B237" s="16">
        <f>SUM(B233:B236)</f>
        <v>0</v>
      </c>
      <c r="C237" s="17" t="e">
        <f>SUM(C233:C236)</f>
        <v>#DIV/0!</v>
      </c>
      <c r="D237" s="17" t="e">
        <f>SUM(D233:D236)</f>
        <v>#DIV/0!</v>
      </c>
    </row>
    <row r="238" spans="1:4">
      <c r="A238" s="18"/>
      <c r="B238" s="13"/>
      <c r="C238" s="22"/>
      <c r="D238" s="22"/>
    </row>
    <row r="239" spans="1:4">
      <c r="A239" s="18"/>
      <c r="B239" s="13"/>
      <c r="C239" s="22"/>
      <c r="D239" s="22"/>
    </row>
    <row r="240" spans="1:4">
      <c r="A240" s="50" t="str">
        <f>'Validation List'!X3</f>
        <v>Information or advice received  on Nutrition and healthy eating during your visit</v>
      </c>
      <c r="B240" s="50"/>
      <c r="C240" s="50"/>
      <c r="D240" s="51"/>
    </row>
    <row r="241" spans="1:4">
      <c r="A241" s="15"/>
      <c r="B241" s="16" t="s">
        <v>37</v>
      </c>
      <c r="C241" s="17" t="s">
        <v>38</v>
      </c>
      <c r="D241" s="17" t="s">
        <v>42</v>
      </c>
    </row>
    <row r="242" spans="1:4">
      <c r="A242" s="15" t="str">
        <f>'Validation List'!X6</f>
        <v>Yes</v>
      </c>
      <c r="B242" s="16">
        <f>COUNTIFS(Table2[What is your age category?],Condition_1,Table2[Did you receive information or advice on Nutrition and healthy eating during your visit today?],A242)</f>
        <v>0</v>
      </c>
      <c r="C242" s="17" t="e">
        <f t="shared" ref="C242:C245" si="32">B242/No_who_answered_survey*100</f>
        <v>#DIV/0!</v>
      </c>
      <c r="D242" s="17" t="e">
        <f>B242/(No_who_answered_survey-COUNTIFS(Table2[What is your age category?],Condition_1,Table2[Did you receive information or advice on Nutrition and healthy eating during your visit today?],"Not answered")-COUNTIFS(Table2[What is your age category?],Condition_1,Table2[Did you receive information or advice on Nutrition and healthy eating during your visit today?],"Not Applicable"))*100</f>
        <v>#DIV/0!</v>
      </c>
    </row>
    <row r="243" spans="1:4">
      <c r="A243" s="15" t="str">
        <f>'Validation List'!X7</f>
        <v>No</v>
      </c>
      <c r="B243" s="16">
        <f>COUNTIFS(Table2[What is your age category?],Condition_1,Table2[Did you receive information or advice on Nutrition and healthy eating during your visit today?],A243)</f>
        <v>0</v>
      </c>
      <c r="C243" s="17" t="e">
        <f t="shared" si="32"/>
        <v>#DIV/0!</v>
      </c>
      <c r="D243" s="17" t="e">
        <f>B243/(No_who_answered_survey-COUNTIFS(Table2[What is your age category?],Condition_1,Table2[Did you receive information or advice on Nutrition and healthy eating during your visit today?],"Not answered")-COUNTIFS(Table2[What is your age category?],Condition_1,Table2[Did you receive information or advice on Nutrition and healthy eating during your visit today?],"Not Applicable"))*100</f>
        <v>#DIV/0!</v>
      </c>
    </row>
    <row r="244" spans="1:4">
      <c r="A244" s="15" t="str">
        <f>'Validation List'!X8</f>
        <v>Not Applicable</v>
      </c>
      <c r="B244" s="16">
        <f>COUNTIFS(Table2[What is your age category?],Condition_1,Table2[Did you receive information or advice on Nutrition and healthy eating during your visit today?],A244)</f>
        <v>0</v>
      </c>
      <c r="C244" s="17" t="e">
        <f t="shared" si="32"/>
        <v>#DIV/0!</v>
      </c>
      <c r="D244" s="17"/>
    </row>
    <row r="245" spans="1:4">
      <c r="A245" s="15" t="str">
        <f>'Validation List'!X15</f>
        <v>Not answered</v>
      </c>
      <c r="B245" s="16">
        <f>COUNTIFS(Table2[What is your age category?],Condition_1,Table2[Did you receive information or advice on Nutrition and healthy eating during your visit today?],A245)</f>
        <v>0</v>
      </c>
      <c r="C245" s="17" t="e">
        <f t="shared" si="32"/>
        <v>#DIV/0!</v>
      </c>
      <c r="D245" s="17"/>
    </row>
    <row r="246" spans="1:4">
      <c r="A246" s="15" t="s">
        <v>39</v>
      </c>
      <c r="B246" s="16">
        <f>SUM(B242:B245)</f>
        <v>0</v>
      </c>
      <c r="C246" s="17" t="e">
        <f>SUM(C242:C245)</f>
        <v>#DIV/0!</v>
      </c>
      <c r="D246" s="17" t="e">
        <f>SUM(D242:D245)</f>
        <v>#DIV/0!</v>
      </c>
    </row>
    <row r="247" spans="1:4">
      <c r="A247" s="18"/>
      <c r="B247" s="13"/>
      <c r="C247" s="22"/>
      <c r="D247" s="22"/>
    </row>
    <row r="248" spans="1:4">
      <c r="A248" s="18"/>
      <c r="B248" s="13"/>
      <c r="C248" s="22"/>
      <c r="D248" s="22"/>
    </row>
    <row r="249" spans="1:4">
      <c r="A249" s="50" t="str">
        <f>'Validation List'!Y3</f>
        <v>Information or advice received on Physical activity during your visit today</v>
      </c>
      <c r="B249" s="50"/>
      <c r="C249" s="50"/>
      <c r="D249" s="51"/>
    </row>
    <row r="250" spans="1:4">
      <c r="A250" s="15"/>
      <c r="B250" s="16" t="s">
        <v>37</v>
      </c>
      <c r="C250" s="17" t="s">
        <v>38</v>
      </c>
      <c r="D250" s="17" t="s">
        <v>42</v>
      </c>
    </row>
    <row r="251" spans="1:4">
      <c r="A251" s="15" t="str">
        <f>'Validation List'!Y6</f>
        <v>Yes</v>
      </c>
      <c r="B251" s="16">
        <f>COUNTIFS(Table2[What is your age category?],Condition_1,Table2[Did you receive information or advice on Physical activity during your visit today?],A251)</f>
        <v>0</v>
      </c>
      <c r="C251" s="17" t="e">
        <f t="shared" ref="C251:C254" si="33">B251/No_who_answered_survey*100</f>
        <v>#DIV/0!</v>
      </c>
      <c r="D251" s="17" t="e">
        <f>B251/(No_who_answered_survey-COUNTIFS(Table2[What is your age category?],Condition_1,Table2[Did you receive information or advice on Physical activity during your visit today?],"Not answered")-COUNTIFS(Table2[What is your age category?],Condition_1,Table2[Did you receive information or advice on Physical activity during your visit today?],"Not Applicable"))*100</f>
        <v>#DIV/0!</v>
      </c>
    </row>
    <row r="252" spans="1:4">
      <c r="A252" s="15" t="str">
        <f>'Validation List'!Y7</f>
        <v>No</v>
      </c>
      <c r="B252" s="16">
        <f>COUNTIFS(Table2[What is your age category?],Condition_1,Table2[Did you receive information or advice on Physical activity during your visit today?],A252)</f>
        <v>0</v>
      </c>
      <c r="C252" s="17" t="e">
        <f t="shared" si="33"/>
        <v>#DIV/0!</v>
      </c>
      <c r="D252" s="17" t="e">
        <f>B252/(No_who_answered_survey-COUNTIFS(Table2[What is your age category?],Condition_1,Table2[Did you receive information or advice on Physical activity during your visit today?],"Not answered")-COUNTIFS(Table2[What is your age category?],Condition_1,Table2[Did you receive information or advice on Physical activity during your visit today?],"Not Applicable"))*100</f>
        <v>#DIV/0!</v>
      </c>
    </row>
    <row r="253" spans="1:4">
      <c r="A253" s="15" t="str">
        <f>'Validation List'!Y8</f>
        <v>Not Applicable</v>
      </c>
      <c r="B253" s="16">
        <f>COUNTIFS(Table2[What is your age category?],Condition_1,Table2[Did you receive information or advice on Physical activity during your visit today?],A253)</f>
        <v>0</v>
      </c>
      <c r="C253" s="17" t="e">
        <f t="shared" si="33"/>
        <v>#DIV/0!</v>
      </c>
      <c r="D253" s="17"/>
    </row>
    <row r="254" spans="1:4">
      <c r="A254" s="15" t="str">
        <f>'Validation List'!Y15</f>
        <v>Not answered</v>
      </c>
      <c r="B254" s="16">
        <f>COUNTIFS(Table2[What is your age category?],Condition_1,Table2[Did you receive information or advice on Physical activity during your visit today?],A254)</f>
        <v>0</v>
      </c>
      <c r="C254" s="17" t="e">
        <f t="shared" si="33"/>
        <v>#DIV/0!</v>
      </c>
      <c r="D254" s="17"/>
    </row>
    <row r="255" spans="1:4">
      <c r="A255" s="15" t="s">
        <v>39</v>
      </c>
      <c r="B255" s="16">
        <f>SUM(B251:B254)</f>
        <v>0</v>
      </c>
      <c r="C255" s="17" t="e">
        <f>SUM(C251:C254)</f>
        <v>#DIV/0!</v>
      </c>
      <c r="D255" s="17" t="e">
        <f>SUM(D251:D254)</f>
        <v>#DIV/0!</v>
      </c>
    </row>
    <row r="256" spans="1:4">
      <c r="A256" s="18"/>
      <c r="B256" s="13"/>
      <c r="C256" s="22"/>
      <c r="D256" s="22"/>
    </row>
    <row r="257" spans="1:4">
      <c r="A257" s="18"/>
      <c r="B257" s="13"/>
      <c r="C257" s="22"/>
      <c r="D257" s="22"/>
    </row>
    <row r="258" spans="1:4">
      <c r="A258" s="50" t="str">
        <f>'Validation List'!Z3</f>
        <v xml:space="preserve">Information or advice received on Alcohol use during your visit </v>
      </c>
      <c r="B258" s="50"/>
      <c r="C258" s="50"/>
      <c r="D258" s="51"/>
    </row>
    <row r="259" spans="1:4">
      <c r="A259" s="15"/>
      <c r="B259" s="16" t="s">
        <v>37</v>
      </c>
      <c r="C259" s="17" t="s">
        <v>38</v>
      </c>
      <c r="D259" s="17" t="s">
        <v>42</v>
      </c>
    </row>
    <row r="260" spans="1:4">
      <c r="A260" s="15" t="str">
        <f>'Validation List'!Z6</f>
        <v>Yes</v>
      </c>
      <c r="B260" s="16">
        <f>COUNTIFS(Table2[What is your age category?],Condition_1,Table2[Did you receive information or advice on Alcohol use during your visit today?],A260)</f>
        <v>0</v>
      </c>
      <c r="C260" s="17" t="e">
        <f t="shared" ref="C260:C263" si="34">B260/No_who_answered_survey*100</f>
        <v>#DIV/0!</v>
      </c>
      <c r="D260" s="17" t="e">
        <f>B260/(No_who_answered_survey-COUNTIFS(Table2[What is your age category?],Condition_1,Table2[Did you receive information or advice on Alcohol use during your visit today?],"Not answered")-COUNTIFS(Table2[What is your age category?],Condition_1,Table2[Did you receive information or advice on Alcohol use during your visit today?],"Not Applicable"))*100</f>
        <v>#DIV/0!</v>
      </c>
    </row>
    <row r="261" spans="1:4">
      <c r="A261" s="15" t="str">
        <f>'Validation List'!Z7</f>
        <v>No</v>
      </c>
      <c r="B261" s="16">
        <f>COUNTIFS(Table2[What is your age category?],Condition_1,Table2[Did you receive information or advice on Alcohol use during your visit today?],A261)</f>
        <v>0</v>
      </c>
      <c r="C261" s="17" t="e">
        <f t="shared" si="34"/>
        <v>#DIV/0!</v>
      </c>
      <c r="D261" s="17" t="e">
        <f>B261/(No_who_answered_survey-COUNTIFS(Table2[What is your age category?],Condition_1,Table2[Did you receive information or advice on Alcohol use during your visit today?],"Not answered")-COUNTIFS(Table2[What is your age category?],Condition_1,Table2[Did you receive information or advice on Alcohol use during your visit today?],"Not Applicable"))*100</f>
        <v>#DIV/0!</v>
      </c>
    </row>
    <row r="262" spans="1:4">
      <c r="A262" s="15" t="str">
        <f>'Validation List'!Z8</f>
        <v>Not Applicable</v>
      </c>
      <c r="B262" s="16">
        <f>COUNTIFS(Table2[What is your age category?],Condition_1,Table2[Did you receive information or advice on Alcohol use during your visit today?],A262)</f>
        <v>0</v>
      </c>
      <c r="C262" s="17" t="e">
        <f t="shared" si="34"/>
        <v>#DIV/0!</v>
      </c>
      <c r="D262" s="17"/>
    </row>
    <row r="263" spans="1:4">
      <c r="A263" s="15" t="str">
        <f>'Validation List'!Z15</f>
        <v>Not answered</v>
      </c>
      <c r="B263" s="16">
        <f>COUNTIFS(Table2[What is your age category?],Condition_1,Table2[Did you receive information or advice on Alcohol use during your visit today?],A263)</f>
        <v>0</v>
      </c>
      <c r="C263" s="17" t="e">
        <f t="shared" si="34"/>
        <v>#DIV/0!</v>
      </c>
      <c r="D263" s="17"/>
    </row>
    <row r="264" spans="1:4">
      <c r="A264" s="15" t="s">
        <v>39</v>
      </c>
      <c r="B264" s="16">
        <f>SUM(B260:B263)</f>
        <v>0</v>
      </c>
      <c r="C264" s="17" t="e">
        <f>SUM(C260:C263)</f>
        <v>#DIV/0!</v>
      </c>
      <c r="D264" s="17" t="e">
        <f>SUM(D260:D263)</f>
        <v>#DIV/0!</v>
      </c>
    </row>
    <row r="265" spans="1:4">
      <c r="A265" s="18"/>
      <c r="B265" s="13"/>
      <c r="C265" s="22"/>
      <c r="D265" s="22"/>
    </row>
    <row r="266" spans="1:4">
      <c r="A266" s="18"/>
      <c r="B266" s="13"/>
      <c r="C266" s="22"/>
      <c r="D266" s="22"/>
    </row>
    <row r="267" spans="1:4" ht="30" customHeight="1">
      <c r="A267" s="47" t="str">
        <f>'Validation List'!AA3</f>
        <v>Information or advice received Mental health and wellbeing during your visit</v>
      </c>
      <c r="B267" s="48"/>
      <c r="C267" s="48"/>
      <c r="D267" s="49"/>
    </row>
    <row r="268" spans="1:4">
      <c r="A268" s="15"/>
      <c r="B268" s="16" t="s">
        <v>37</v>
      </c>
      <c r="C268" s="17" t="s">
        <v>38</v>
      </c>
      <c r="D268" s="17" t="s">
        <v>42</v>
      </c>
    </row>
    <row r="269" spans="1:4">
      <c r="A269" s="15" t="str">
        <f>'Validation List'!AA6</f>
        <v>Yes</v>
      </c>
      <c r="B269" s="16">
        <f>COUNTIFS(Table2[What is your age category?],Condition_1,Table2[Did you receive information or advice on Mental health and wellbeing during your visit today?],A269)</f>
        <v>0</v>
      </c>
      <c r="C269" s="17" t="e">
        <f t="shared" ref="C269:C272" si="35">B269/No_who_answered_survey*100</f>
        <v>#DIV/0!</v>
      </c>
      <c r="D269" s="17" t="e">
        <f>B269/(No_who_answered_survey-COUNTIFS(Table2[What is your age category?],Condition_1,Table2[Did you receive information or advice on Mental health and wellbeing during your visit today?],"Not answered")-COUNTIFS(Table2[What is your age category?],Condition_1,Table2[Did you receive information or advice on Mental health and wellbeing during your visit today?],"Not Applicable"))*100</f>
        <v>#DIV/0!</v>
      </c>
    </row>
    <row r="270" spans="1:4">
      <c r="A270" s="15" t="str">
        <f>'Validation List'!AA7</f>
        <v>No</v>
      </c>
      <c r="B270" s="16">
        <f>COUNTIFS(Table2[What is your age category?],Condition_1,Table2[Did you receive information or advice on Mental health and wellbeing during your visit today?],A270)</f>
        <v>0</v>
      </c>
      <c r="C270" s="17" t="e">
        <f t="shared" si="35"/>
        <v>#DIV/0!</v>
      </c>
      <c r="D270" s="17" t="e">
        <f>B270/(No_who_answered_survey-COUNTIFS(Table2[What is your age category?],Condition_1,Table2[Did you receive information or advice on Mental health and wellbeing during your visit today?],"Not answered")-COUNTIFS(Table2[What is your age category?],Condition_1,Table2[Did you receive information or advice on Mental health and wellbeing during your visit today?],"Not Applicable"))*100</f>
        <v>#DIV/0!</v>
      </c>
    </row>
    <row r="271" spans="1:4">
      <c r="A271" s="15" t="str">
        <f>'Validation List'!AA8</f>
        <v>Not Applicable</v>
      </c>
      <c r="B271" s="16">
        <f>COUNTIFS(Table2[What is your age category?],Condition_1,Table2[Did you receive information or advice on Mental health and wellbeing during your visit today?],A271)</f>
        <v>0</v>
      </c>
      <c r="C271" s="17" t="e">
        <f t="shared" si="35"/>
        <v>#DIV/0!</v>
      </c>
      <c r="D271" s="17"/>
    </row>
    <row r="272" spans="1:4">
      <c r="A272" s="15" t="str">
        <f>'Validation List'!AA15</f>
        <v>Not answered</v>
      </c>
      <c r="B272" s="16">
        <f>COUNTIFS(Table2[What is your age category?],Condition_1,Table2[Did you receive information or advice on Mental health and wellbeing during your visit today?],A272)</f>
        <v>0</v>
      </c>
      <c r="C272" s="17" t="e">
        <f t="shared" si="35"/>
        <v>#DIV/0!</v>
      </c>
      <c r="D272" s="17"/>
    </row>
    <row r="273" spans="1:4">
      <c r="A273" s="15" t="s">
        <v>39</v>
      </c>
      <c r="B273" s="16">
        <f>SUM(B269:B272)</f>
        <v>0</v>
      </c>
      <c r="C273" s="17" t="e">
        <f>SUM(C269:C272)</f>
        <v>#DIV/0!</v>
      </c>
      <c r="D273" s="17" t="e">
        <f>SUM(D269:D272)</f>
        <v>#DIV/0!</v>
      </c>
    </row>
    <row r="274" spans="1:4">
      <c r="A274" s="18"/>
      <c r="B274" s="13"/>
      <c r="C274" s="22"/>
      <c r="D274" s="22"/>
    </row>
    <row r="275" spans="1:4">
      <c r="A275" s="18"/>
      <c r="B275" s="13"/>
      <c r="C275" s="22"/>
      <c r="D275" s="22"/>
    </row>
    <row r="276" spans="1:4" ht="27" customHeight="1">
      <c r="A276" s="47" t="str">
        <f>'Validation List'!AB3</f>
        <v>Information or advice received on Dementia during your visit</v>
      </c>
      <c r="B276" s="48"/>
      <c r="C276" s="48"/>
      <c r="D276" s="49"/>
    </row>
    <row r="277" spans="1:4">
      <c r="A277" s="15"/>
      <c r="B277" s="16" t="s">
        <v>37</v>
      </c>
      <c r="C277" s="17" t="s">
        <v>38</v>
      </c>
      <c r="D277" s="17" t="s">
        <v>42</v>
      </c>
    </row>
    <row r="278" spans="1:4">
      <c r="A278" s="15" t="str">
        <f>'Validation List'!AB6</f>
        <v>Yes</v>
      </c>
      <c r="B278" s="16">
        <f>COUNTIFS(Table2[What is your age category?],Condition_1,Table2[Did you receive information or advice on Dementia during your visit today?],A278)</f>
        <v>0</v>
      </c>
      <c r="C278" s="17" t="e">
        <f t="shared" ref="C278:C281" si="36">B278/No_who_answered_survey*100</f>
        <v>#DIV/0!</v>
      </c>
      <c r="D278" s="17" t="e">
        <f>B278/(No_who_answered_survey-COUNTIFS(Table2[What is your age category?],Condition_1,Table2[Did you receive information or advice on Dementia during your visit today?],"Not answered")-COUNTIFS(Table2[What is your age category?],Condition_1,Table2[Did you receive information or advice on Dementia during your visit today?],"Not Applicable"))*100</f>
        <v>#DIV/0!</v>
      </c>
    </row>
    <row r="279" spans="1:4">
      <c r="A279" s="15" t="str">
        <f>'Validation List'!AB7</f>
        <v>No</v>
      </c>
      <c r="B279" s="16">
        <f>COUNTIFS(Table2[What is your age category?],Condition_1,Table2[Did you receive information or advice on Dementia during your visit today?],A279)</f>
        <v>0</v>
      </c>
      <c r="C279" s="17" t="e">
        <f t="shared" si="36"/>
        <v>#DIV/0!</v>
      </c>
      <c r="D279" s="17" t="e">
        <f>B279/(No_who_answered_survey-COUNTIFS(Table2[What is your age category?],Condition_1,Table2[Did you receive information or advice on Dementia during your visit today?],"Not answered")-COUNTIFS(Table2[What is your age category?],Condition_1,Table2[Did you receive information or advice on Dementia during your visit today?],"Not Applicable"))*100</f>
        <v>#DIV/0!</v>
      </c>
    </row>
    <row r="280" spans="1:4">
      <c r="A280" s="15" t="str">
        <f>'Validation List'!AB8</f>
        <v>Not Applicable</v>
      </c>
      <c r="B280" s="16">
        <f>COUNTIFS(Table2[What is your age category?],Condition_1,Table2[Did you receive information or advice on Dementia during your visit today?],A280)</f>
        <v>0</v>
      </c>
      <c r="C280" s="17" t="e">
        <f t="shared" si="36"/>
        <v>#DIV/0!</v>
      </c>
      <c r="D280" s="17"/>
    </row>
    <row r="281" spans="1:4">
      <c r="A281" s="15" t="str">
        <f>'Validation List'!AB15</f>
        <v>Not answered</v>
      </c>
      <c r="B281" s="16">
        <f>COUNTIFS(Table2[What is your age category?],Condition_1,Table2[Did you receive information or advice on Dementia during your visit today?],A281)</f>
        <v>0</v>
      </c>
      <c r="C281" s="17" t="e">
        <f t="shared" si="36"/>
        <v>#DIV/0!</v>
      </c>
      <c r="D281" s="17"/>
    </row>
    <row r="282" spans="1:4">
      <c r="A282" s="15" t="s">
        <v>39</v>
      </c>
      <c r="B282" s="16">
        <f>SUM(B278:B281)</f>
        <v>0</v>
      </c>
      <c r="C282" s="17" t="e">
        <f>SUM(C278:C281)</f>
        <v>#DIV/0!</v>
      </c>
      <c r="D282" s="17" t="e">
        <f>SUM(D278:D281)</f>
        <v>#DIV/0!</v>
      </c>
    </row>
    <row r="283" spans="1:4">
      <c r="A283" s="18"/>
      <c r="B283" s="13"/>
      <c r="C283" s="22"/>
      <c r="D283" s="22"/>
    </row>
    <row r="284" spans="1:4">
      <c r="A284" s="18"/>
      <c r="B284" s="13"/>
      <c r="C284" s="22"/>
      <c r="D284" s="22"/>
    </row>
    <row r="285" spans="1:4" ht="30" customHeight="1">
      <c r="A285" s="47" t="str">
        <f>'Validation List'!AC3</f>
        <v>Information or advice received on Falls prevention during your visit</v>
      </c>
      <c r="B285" s="48"/>
      <c r="C285" s="48"/>
      <c r="D285" s="49"/>
    </row>
    <row r="286" spans="1:4">
      <c r="A286" s="15"/>
      <c r="B286" s="16" t="s">
        <v>37</v>
      </c>
      <c r="C286" s="17" t="s">
        <v>38</v>
      </c>
      <c r="D286" s="17" t="s">
        <v>42</v>
      </c>
    </row>
    <row r="287" spans="1:4">
      <c r="A287" s="15" t="str">
        <f>'Validation List'!AC6</f>
        <v>Yes</v>
      </c>
      <c r="B287" s="16">
        <f>COUNTIFS(Table2[What is your age category?],Condition_1,Table2[Did you receive information or advice on Falls prevention during your visit today?],A287)</f>
        <v>0</v>
      </c>
      <c r="C287" s="17" t="e">
        <f t="shared" ref="C287:C290" si="37">B287/No_who_answered_survey*100</f>
        <v>#DIV/0!</v>
      </c>
      <c r="D287" s="17" t="e">
        <f>B287/(No_who_answered_survey-COUNTIFS(Table2[What is your age category?],Condition_1,Table2[Did you receive information or advice on Falls prevention during your visit today?],"Not answered")-COUNTIFS(Table2[What is your age category?],Condition_1,Table2[Did you receive information or advice on Falls prevention during your visit today?],"Not Applicable"))*100</f>
        <v>#DIV/0!</v>
      </c>
    </row>
    <row r="288" spans="1:4">
      <c r="A288" s="15" t="str">
        <f>'Validation List'!AC7</f>
        <v>No</v>
      </c>
      <c r="B288" s="16">
        <f>COUNTIFS(Table2[What is your age category?],Condition_1,Table2[Did you receive information or advice on Falls prevention during your visit today?],A288)</f>
        <v>0</v>
      </c>
      <c r="C288" s="17" t="e">
        <f t="shared" si="37"/>
        <v>#DIV/0!</v>
      </c>
      <c r="D288" s="17" t="e">
        <f>B288/(No_who_answered_survey-COUNTIFS(Table2[What is your age category?],Condition_1,Table2[Did you receive information or advice on Falls prevention during your visit today?],"Not answered")-COUNTIFS(Table2[What is your age category?],Condition_1,Table2[Did you receive information or advice on Falls prevention during your visit today?],"Not Applicable"))*100</f>
        <v>#DIV/0!</v>
      </c>
    </row>
    <row r="289" spans="1:4">
      <c r="A289" s="15" t="str">
        <f>'Validation List'!AC8</f>
        <v>Not Applicable</v>
      </c>
      <c r="B289" s="16">
        <f>COUNTIFS(Table2[What is your age category?],Condition_1,Table2[Did you receive information or advice on Falls prevention during your visit today?],A289)</f>
        <v>0</v>
      </c>
      <c r="C289" s="17" t="e">
        <f t="shared" si="37"/>
        <v>#DIV/0!</v>
      </c>
      <c r="D289" s="17"/>
    </row>
    <row r="290" spans="1:4">
      <c r="A290" s="15" t="str">
        <f>'Validation List'!AC15</f>
        <v>Not answered</v>
      </c>
      <c r="B290" s="16">
        <f>COUNTIFS(Table2[What is your age category?],Condition_1,Table2[Did you receive information or advice on Falls prevention during your visit today?],A290)</f>
        <v>0</v>
      </c>
      <c r="C290" s="17" t="e">
        <f t="shared" si="37"/>
        <v>#DIV/0!</v>
      </c>
      <c r="D290" s="17"/>
    </row>
    <row r="291" spans="1:4">
      <c r="A291" s="15" t="s">
        <v>39</v>
      </c>
      <c r="B291" s="16">
        <f>SUM(B287:B290)</f>
        <v>0</v>
      </c>
      <c r="C291" s="17" t="e">
        <f>SUM(C287:C290)</f>
        <v>#DIV/0!</v>
      </c>
      <c r="D291" s="17" t="e">
        <f>SUM(D287:D290)</f>
        <v>#DIV/0!</v>
      </c>
    </row>
    <row r="292" spans="1:4">
      <c r="A292" s="18"/>
      <c r="B292" s="13"/>
      <c r="C292" s="22"/>
      <c r="D292" s="22"/>
    </row>
    <row r="293" spans="1:4">
      <c r="A293" s="18"/>
      <c r="B293" s="13"/>
      <c r="C293" s="22"/>
      <c r="D293" s="22"/>
    </row>
    <row r="294" spans="1:4" ht="26.25" customHeight="1">
      <c r="A294" s="47" t="str">
        <f>'Validation List'!AD3</f>
        <v>Information or advice received on Drug use during your visit</v>
      </c>
      <c r="B294" s="48"/>
      <c r="C294" s="48"/>
      <c r="D294" s="49"/>
    </row>
    <row r="295" spans="1:4">
      <c r="A295" s="15"/>
      <c r="B295" s="16" t="s">
        <v>37</v>
      </c>
      <c r="C295" s="17" t="s">
        <v>38</v>
      </c>
      <c r="D295" s="17" t="s">
        <v>42</v>
      </c>
    </row>
    <row r="296" spans="1:4">
      <c r="A296" s="15" t="str">
        <f>'Validation List'!AD6</f>
        <v>Yes</v>
      </c>
      <c r="B296" s="16">
        <f>COUNTIFS(Table2[What is your age category?],Condition_1,Table2[Did you receive information or advice on Drug use during your visit today?],A296)</f>
        <v>0</v>
      </c>
      <c r="C296" s="17" t="e">
        <f t="shared" ref="C296:C299" si="38">B296/No_who_answered_survey*100</f>
        <v>#DIV/0!</v>
      </c>
      <c r="D296" s="17" t="e">
        <f>B296/(No_who_answered_survey-COUNTIFS(Table2[What is your age category?],Condition_1,Table2[Did you receive information or advice on Drug use during your visit today?],"Not answered")-COUNTIFS(Table2[What is your age category?],Condition_1,Table2[Did you receive information or advice on Drug use during your visit today?],"Not Applicable"))*100</f>
        <v>#DIV/0!</v>
      </c>
    </row>
    <row r="297" spans="1:4">
      <c r="A297" s="15" t="str">
        <f>'Validation List'!AD7</f>
        <v>No</v>
      </c>
      <c r="B297" s="16">
        <f>COUNTIFS(Table2[What is your age category?],Condition_1,Table2[Did you receive information or advice on Drug use during your visit today?],A297)</f>
        <v>0</v>
      </c>
      <c r="C297" s="17" t="e">
        <f t="shared" si="38"/>
        <v>#DIV/0!</v>
      </c>
      <c r="D297" s="17" t="e">
        <f>B297/(No_who_answered_survey-COUNTIFS(Table2[What is your age category?],Condition_1,Table2[Did you receive information or advice on Drug use during your visit today?],"Not answered")-COUNTIFS(Table2[What is your age category?],Condition_1,Table2[Did you receive information or advice on Drug use during your visit today?],"Not Applicable"))*100</f>
        <v>#DIV/0!</v>
      </c>
    </row>
    <row r="298" spans="1:4">
      <c r="A298" s="15" t="str">
        <f>'Validation List'!AD8</f>
        <v>Not Applicable</v>
      </c>
      <c r="B298" s="16">
        <f>COUNTIFS(Table2[What is your age category?],Condition_1,Table2[Did you receive information or advice on Drug use during your visit today?],A298)</f>
        <v>0</v>
      </c>
      <c r="C298" s="17" t="e">
        <f t="shared" si="38"/>
        <v>#DIV/0!</v>
      </c>
      <c r="D298" s="17"/>
    </row>
    <row r="299" spans="1:4">
      <c r="A299" s="15" t="str">
        <f>'Validation List'!AD15</f>
        <v>Not answered</v>
      </c>
      <c r="B299" s="16">
        <f>COUNTIFS(Table2[What is your age category?],Condition_1,Table2[Did you receive information or advice on Drug use during your visit today?],A299)</f>
        <v>0</v>
      </c>
      <c r="C299" s="17" t="e">
        <f t="shared" si="38"/>
        <v>#DIV/0!</v>
      </c>
      <c r="D299" s="17"/>
    </row>
    <row r="300" spans="1:4">
      <c r="A300" s="15" t="s">
        <v>39</v>
      </c>
      <c r="B300" s="16">
        <f>SUM(B296:B299)</f>
        <v>0</v>
      </c>
      <c r="C300" s="17" t="e">
        <f>SUM(C296:C299)</f>
        <v>#DIV/0!</v>
      </c>
      <c r="D300" s="17" t="e">
        <f>SUM(D296:D299)</f>
        <v>#DIV/0!</v>
      </c>
    </row>
    <row r="301" spans="1:4">
      <c r="A301" s="18"/>
      <c r="B301" s="13"/>
      <c r="C301" s="22"/>
      <c r="D301" s="22"/>
    </row>
    <row r="302" spans="1:4">
      <c r="A302" s="18"/>
      <c r="B302" s="13"/>
      <c r="C302" s="22"/>
      <c r="D302" s="22"/>
    </row>
    <row r="303" spans="1:4" ht="28.5" customHeight="1">
      <c r="A303" s="47" t="str">
        <f>'Validation List'!AE3</f>
        <v>Information or advice received on Other issues during your visit today</v>
      </c>
      <c r="B303" s="48"/>
      <c r="C303" s="48"/>
      <c r="D303" s="49"/>
    </row>
    <row r="304" spans="1:4">
      <c r="A304" s="15"/>
      <c r="B304" s="16" t="s">
        <v>37</v>
      </c>
      <c r="C304" s="17" t="s">
        <v>38</v>
      </c>
      <c r="D304" s="17" t="s">
        <v>42</v>
      </c>
    </row>
    <row r="305" spans="1:4">
      <c r="A305" s="15" t="str">
        <f>'Validation List'!AE6</f>
        <v>Yes</v>
      </c>
      <c r="B305" s="16">
        <f>COUNTIFS(Table2[What is your age category?],Condition_1,Table2[Did you receive other information or advice during your visit today?],A305)</f>
        <v>0</v>
      </c>
      <c r="C305" s="17" t="e">
        <f t="shared" ref="C305:C308" si="39">B305/No_who_answered_survey*100</f>
        <v>#DIV/0!</v>
      </c>
      <c r="D305" s="17" t="e">
        <f>B305/(No_who_answered_survey-COUNTIFS(Table2[What is your age category?],Condition_1,Table2[Did you receive other information or advice during your visit today?],"Not answered")-COUNTIFS(Table2[What is your age category?],Condition_1,Table2[Did you receive other information or advice during your visit today?],"Not Applicable"))*100</f>
        <v>#DIV/0!</v>
      </c>
    </row>
    <row r="306" spans="1:4">
      <c r="A306" s="15" t="str">
        <f>'Validation List'!AE7</f>
        <v>No</v>
      </c>
      <c r="B306" s="16">
        <f>COUNTIFS(Table2[What is your age category?],Condition_1,Table2[Did you receive other information or advice during your visit today?],A306)</f>
        <v>0</v>
      </c>
      <c r="C306" s="17" t="e">
        <f t="shared" si="39"/>
        <v>#DIV/0!</v>
      </c>
      <c r="D306" s="17" t="e">
        <f>B306/(No_who_answered_survey-COUNTIFS(Table2[What is your age category?],Condition_1,Table2[Did you receive other information or advice during your visit today?],"Not answered")-COUNTIFS(Table2[What is your age category?],Condition_1,Table2[Did you receive other information or advice during your visit today?],"Not Applicable"))*100</f>
        <v>#DIV/0!</v>
      </c>
    </row>
    <row r="307" spans="1:4">
      <c r="A307" s="15" t="str">
        <f>'Validation List'!AE8</f>
        <v>Not Applicable</v>
      </c>
      <c r="B307" s="16">
        <f>COUNTIFS(Table2[What is your age category?],Condition_1,Table2[Did you receive other information or advice during your visit today?],A307)</f>
        <v>0</v>
      </c>
      <c r="C307" s="17" t="e">
        <f t="shared" si="39"/>
        <v>#DIV/0!</v>
      </c>
      <c r="D307" s="17"/>
    </row>
    <row r="308" spans="1:4">
      <c r="A308" s="15" t="str">
        <f>'Validation List'!AE15</f>
        <v>Not answered</v>
      </c>
      <c r="B308" s="16">
        <f>COUNTIFS(Table2[What is your age category?],Condition_1,Table2[Did you receive other information or advice during your visit today?],A308)</f>
        <v>0</v>
      </c>
      <c r="C308" s="17" t="e">
        <f t="shared" si="39"/>
        <v>#DIV/0!</v>
      </c>
      <c r="D308" s="17"/>
    </row>
    <row r="309" spans="1:4">
      <c r="A309" s="15" t="s">
        <v>39</v>
      </c>
      <c r="B309" s="16">
        <f>SUM(B305:B308)</f>
        <v>0</v>
      </c>
      <c r="C309" s="17" t="e">
        <f>SUM(C305:C308)</f>
        <v>#DIV/0!</v>
      </c>
      <c r="D309" s="17" t="e">
        <f>SUM(D305:D308)</f>
        <v>#DIV/0!</v>
      </c>
    </row>
    <row r="310" spans="1:4">
      <c r="A310" s="18"/>
      <c r="B310" s="13"/>
      <c r="C310" s="22"/>
      <c r="D310" s="22"/>
    </row>
    <row r="311" spans="1:4">
      <c r="A311" s="18"/>
      <c r="B311" s="13"/>
      <c r="C311" s="22"/>
      <c r="D311" s="22"/>
    </row>
    <row r="312" spans="1:4">
      <c r="A312" s="47" t="str">
        <f>'Validation List'!AF3</f>
        <v>Patient highlighted other areas for information or advice</v>
      </c>
      <c r="B312" s="48"/>
      <c r="C312" s="48"/>
      <c r="D312" s="49"/>
    </row>
    <row r="313" spans="1:4">
      <c r="A313" s="15"/>
      <c r="B313" s="16" t="s">
        <v>37</v>
      </c>
      <c r="C313" s="17" t="s">
        <v>38</v>
      </c>
      <c r="D313" s="17" t="s">
        <v>42</v>
      </c>
    </row>
    <row r="314" spans="1:4">
      <c r="A314" s="15" t="str">
        <f>'Validation List'!AF6</f>
        <v>Yes</v>
      </c>
      <c r="B314" s="16">
        <f>COUNTIFS(Table2[What is your age category?],Condition_1,Table2[Are there other areas that you would appreciate information or advice on?],A314)</f>
        <v>0</v>
      </c>
      <c r="C314" s="17" t="e">
        <f t="shared" ref="C314:C316" si="40">B314/No_who_answered_survey*100</f>
        <v>#DIV/0!</v>
      </c>
      <c r="D314" s="17" t="e">
        <f>B314/(No_who_answered_survey-COUNTIFS(Table2[What is your age category?],Condition_1,Table2[Are there other areas that you would appreciate information or advice on?],"Not answered"))*100</f>
        <v>#DIV/0!</v>
      </c>
    </row>
    <row r="315" spans="1:4">
      <c r="A315" s="15" t="str">
        <f>'Validation List'!AF7</f>
        <v>No</v>
      </c>
      <c r="B315" s="16">
        <f>COUNTIFS(Table2[What is your age category?],Condition_1,Table2[Are there other areas that you would appreciate information or advice on?],A315)</f>
        <v>0</v>
      </c>
      <c r="C315" s="17" t="e">
        <f t="shared" si="40"/>
        <v>#DIV/0!</v>
      </c>
      <c r="D315" s="17" t="e">
        <f>B315/(No_who_answered_survey-COUNTIFS(Table2[What is your age category?],Condition_1,Table2[Are there other areas that you would appreciate information or advice on?],"Not answered"))*100</f>
        <v>#DIV/0!</v>
      </c>
    </row>
    <row r="316" spans="1:4">
      <c r="A316" s="15" t="str">
        <f>'Validation List'!AF15</f>
        <v>Not answered</v>
      </c>
      <c r="B316" s="16">
        <f>COUNTIFS(Table2[What is your age category?],Condition_1,Table2[Are there other areas that you would appreciate information or advice on?],A316)</f>
        <v>0</v>
      </c>
      <c r="C316" s="17" t="e">
        <f t="shared" si="40"/>
        <v>#DIV/0!</v>
      </c>
      <c r="D316" s="17"/>
    </row>
    <row r="317" spans="1:4">
      <c r="A317" s="15" t="s">
        <v>39</v>
      </c>
      <c r="B317" s="16">
        <f>SUM(B314:B316)</f>
        <v>0</v>
      </c>
      <c r="C317" s="17" t="e">
        <f>SUM(C314:C316)</f>
        <v>#DIV/0!</v>
      </c>
      <c r="D317" s="17" t="e">
        <f>SUM(D314:D316)</f>
        <v>#DIV/0!</v>
      </c>
    </row>
    <row r="318" spans="1:4">
      <c r="A318" s="18"/>
      <c r="B318" s="13"/>
      <c r="C318" s="22"/>
      <c r="D318" s="22"/>
    </row>
    <row r="319" spans="1:4">
      <c r="A319" s="18"/>
      <c r="B319" s="13"/>
      <c r="C319" s="22"/>
      <c r="D319" s="22"/>
    </row>
    <row r="320" spans="1:4" ht="27.75" customHeight="1">
      <c r="A320" s="47" t="str">
        <f>'Validation List'!AG3</f>
        <v>Overall patient rating of their appointment on day of survey</v>
      </c>
      <c r="B320" s="48"/>
      <c r="C320" s="48"/>
      <c r="D320" s="49"/>
    </row>
    <row r="321" spans="1:4">
      <c r="A321" s="15"/>
      <c r="B321" s="16" t="s">
        <v>37</v>
      </c>
      <c r="C321" s="17" t="s">
        <v>38</v>
      </c>
      <c r="D321" s="17" t="s">
        <v>42</v>
      </c>
    </row>
    <row r="322" spans="1:4">
      <c r="A322" s="15" t="str">
        <f>'Validation List'!AG6</f>
        <v>Excellent</v>
      </c>
      <c r="B322" s="16">
        <f>COUNTIFS(Table2[What is your age category?],Condition_1,Table2[Overall, how would you rate your experience of your appointment today? Please circle one.],A322)</f>
        <v>0</v>
      </c>
      <c r="C322" s="17" t="e">
        <f t="shared" ref="C322:C327" si="41">B322/No_who_answered_survey*100</f>
        <v>#DIV/0!</v>
      </c>
      <c r="D322" s="17" t="e">
        <f>B322/(No_who_answered_survey-COUNTIFS(Table2[What is your age category?],Condition_1,Table2[Overall, how would you rate your experience of your appointment today? Please circle one.],"Not answered"))*100</f>
        <v>#DIV/0!</v>
      </c>
    </row>
    <row r="323" spans="1:4">
      <c r="A323" s="15" t="str">
        <f>'Validation List'!AG7</f>
        <v>Very Good</v>
      </c>
      <c r="B323" s="16">
        <f>COUNTIFS(Table2[What is your age category?],Condition_1,Table2[Overall, how would you rate your experience of your appointment today? Please circle one.],A323)</f>
        <v>0</v>
      </c>
      <c r="C323" s="17" t="e">
        <f t="shared" si="41"/>
        <v>#DIV/0!</v>
      </c>
      <c r="D323" s="17" t="e">
        <f>B323/(No_who_answered_survey-COUNTIFS(Table2[What is your age category?],Condition_1,Table2[Overall, how would you rate your experience of your appointment today? Please circle one.],"Not answered"))*100</f>
        <v>#DIV/0!</v>
      </c>
    </row>
    <row r="324" spans="1:4">
      <c r="A324" s="15" t="str">
        <f>'Validation List'!AG8</f>
        <v>Good</v>
      </c>
      <c r="B324" s="16">
        <f>COUNTIFS(Table2[What is your age category?],Condition_1,Table2[Overall, how would you rate your experience of your appointment today? Please circle one.],A324)</f>
        <v>0</v>
      </c>
      <c r="C324" s="17" t="e">
        <f t="shared" si="41"/>
        <v>#DIV/0!</v>
      </c>
      <c r="D324" s="17" t="e">
        <f>B324/(No_who_answered_survey-COUNTIFS(Table2[What is your age category?],Condition_1,Table2[Overall, how would you rate your experience of your appointment today? Please circle one.],"Not answered"))*100</f>
        <v>#DIV/0!</v>
      </c>
    </row>
    <row r="325" spans="1:4">
      <c r="A325" s="15" t="str">
        <f>'Validation List'!AG9</f>
        <v xml:space="preserve">Poor </v>
      </c>
      <c r="B325" s="16">
        <f>COUNTIFS(Table2[What is your age category?],Condition_1,Table2[Overall, how would you rate your experience of your appointment today? Please circle one.],A325)</f>
        <v>0</v>
      </c>
      <c r="C325" s="17" t="e">
        <f t="shared" si="41"/>
        <v>#DIV/0!</v>
      </c>
      <c r="D325" s="17" t="e">
        <f>B325/(No_who_answered_survey-COUNTIFS(Table2[What is your age category?],Condition_1,Table2[Overall, how would you rate your experience of your appointment today? Please circle one.],"Not answered"))*100</f>
        <v>#DIV/0!</v>
      </c>
    </row>
    <row r="326" spans="1:4">
      <c r="A326" s="15" t="str">
        <f>'Validation List'!AG10</f>
        <v>Very Poor</v>
      </c>
      <c r="B326" s="16">
        <f>COUNTIFS(Table2[What is your age category?],Condition_1,Table2[Overall, how would you rate your experience of your appointment today? Please circle one.],A326)</f>
        <v>0</v>
      </c>
      <c r="C326" s="17" t="e">
        <f t="shared" si="41"/>
        <v>#DIV/0!</v>
      </c>
      <c r="D326" s="17" t="e">
        <f>B326/(No_who_answered_survey-COUNTIFS(Table2[What is your age category?],Condition_1,Table2[Overall, how would you rate your experience of your appointment today? Please circle one.],"Not answered"))*100</f>
        <v>#DIV/0!</v>
      </c>
    </row>
    <row r="327" spans="1:4">
      <c r="A327" s="15" t="str">
        <f>'Validation List'!AG15</f>
        <v>Not answered</v>
      </c>
      <c r="B327" s="16">
        <f>COUNTIFS(Table2[What is your age category?],Condition_1,Table2[Overall, how would you rate your experience of your appointment today? Please circle one.],A327)</f>
        <v>0</v>
      </c>
      <c r="C327" s="17" t="e">
        <f t="shared" si="41"/>
        <v>#DIV/0!</v>
      </c>
      <c r="D327" s="17"/>
    </row>
    <row r="328" spans="1:4">
      <c r="A328" s="15" t="s">
        <v>39</v>
      </c>
      <c r="B328" s="16">
        <f>SUM(B322:B327)</f>
        <v>0</v>
      </c>
      <c r="C328" s="17" t="e">
        <f>SUM(C322:C327)</f>
        <v>#DIV/0!</v>
      </c>
      <c r="D328" s="17" t="e">
        <f>SUM(D322:D327)</f>
        <v>#DIV/0!</v>
      </c>
    </row>
    <row r="329" spans="1:4">
      <c r="A329" s="18"/>
      <c r="B329" s="13"/>
      <c r="C329" s="22"/>
      <c r="D329" s="22"/>
    </row>
    <row r="330" spans="1:4">
      <c r="A330" s="18"/>
      <c r="B330" s="13"/>
      <c r="C330" s="22"/>
      <c r="D330" s="22"/>
    </row>
    <row r="331" spans="1:4">
      <c r="A331" s="47" t="str">
        <f>'Validation List'!AH3</f>
        <v>Patient awareness of The National Healthcare Charter, ‘You and Your Health Service’</v>
      </c>
      <c r="B331" s="48"/>
      <c r="C331" s="48"/>
      <c r="D331" s="49"/>
    </row>
    <row r="332" spans="1:4">
      <c r="A332" s="15"/>
      <c r="B332" s="16" t="s">
        <v>37</v>
      </c>
      <c r="C332" s="17" t="s">
        <v>38</v>
      </c>
      <c r="D332" s="17" t="s">
        <v>42</v>
      </c>
    </row>
    <row r="333" spans="1:4">
      <c r="A333" s="15" t="str">
        <f>'Validation List'!AH6</f>
        <v>Yes</v>
      </c>
      <c r="B333" s="16">
        <f>COUNTIFS(Table2[What is your age category?],Condition_1,Table2[Are you aware of The National Healthcare Charter, ‘You and Your Health Service’:],A333)</f>
        <v>0</v>
      </c>
      <c r="C333" s="17" t="e">
        <f t="shared" ref="C333:C335" si="42">B333/No_who_answered_survey*100</f>
        <v>#DIV/0!</v>
      </c>
      <c r="D333" s="17" t="e">
        <f>B333/(No_who_answered_survey-COUNTIFS(Table2[What is your age category?],Condition_1,Table2[Are you aware of The National Healthcare Charter, ‘You and Your Health Service’:],"Not answered"))*100</f>
        <v>#DIV/0!</v>
      </c>
    </row>
    <row r="334" spans="1:4">
      <c r="A334" s="15" t="str">
        <f>'Validation List'!AH7</f>
        <v>No</v>
      </c>
      <c r="B334" s="16">
        <f>COUNTIFS(Table2[What is your age category?],Condition_1,Table2[Are you aware of The National Healthcare Charter, ‘You and Your Health Service’:],A334)</f>
        <v>0</v>
      </c>
      <c r="C334" s="17" t="e">
        <f t="shared" si="42"/>
        <v>#DIV/0!</v>
      </c>
      <c r="D334" s="17" t="e">
        <f>B334/(No_who_answered_survey-COUNTIFS(Table2[What is your age category?],Condition_1,Table2[Are you aware of The National Healthcare Charter, ‘You and Your Health Service’:],"Not answered"))*100</f>
        <v>#DIV/0!</v>
      </c>
    </row>
    <row r="335" spans="1:4">
      <c r="A335" s="15" t="str">
        <f>'Validation List'!AH15</f>
        <v>Not answered</v>
      </c>
      <c r="B335" s="16">
        <f>COUNTIFS(Table2[What is your age category?],Condition_1,Table2[Are you aware of The National Healthcare Charter, ‘You and Your Health Service’:],A335)</f>
        <v>0</v>
      </c>
      <c r="C335" s="17" t="e">
        <f t="shared" si="42"/>
        <v>#DIV/0!</v>
      </c>
      <c r="D335" s="17"/>
    </row>
    <row r="336" spans="1:4">
      <c r="A336" s="15" t="s">
        <v>39</v>
      </c>
      <c r="B336" s="16">
        <f>SUM(B333:B335)</f>
        <v>0</v>
      </c>
      <c r="C336" s="17" t="e">
        <f>SUM(C333:C335)</f>
        <v>#DIV/0!</v>
      </c>
      <c r="D336" s="17" t="e">
        <f>SUM(D333:D335)</f>
        <v>#DIV/0!</v>
      </c>
    </row>
    <row r="337" spans="1:4">
      <c r="A337" s="18"/>
      <c r="B337" s="13"/>
      <c r="C337" s="22"/>
      <c r="D337" s="22"/>
    </row>
    <row r="338" spans="1:4">
      <c r="A338" s="18"/>
      <c r="B338" s="13"/>
      <c r="C338" s="22"/>
      <c r="D338" s="22"/>
    </row>
    <row r="339" spans="1:4">
      <c r="A339" s="47" t="str">
        <f>'Validation List'!AI3</f>
        <v>Patient awareness of ‘Your Service Your Say’ (HSE Complaints Process)</v>
      </c>
      <c r="B339" s="48"/>
      <c r="C339" s="48"/>
      <c r="D339" s="49"/>
    </row>
    <row r="340" spans="1:4">
      <c r="A340" s="15"/>
      <c r="B340" s="16" t="s">
        <v>37</v>
      </c>
      <c r="C340" s="17" t="s">
        <v>38</v>
      </c>
      <c r="D340" s="17" t="s">
        <v>42</v>
      </c>
    </row>
    <row r="341" spans="1:4">
      <c r="A341" s="15" t="str">
        <f>'Validation List'!AI6</f>
        <v>Yes</v>
      </c>
      <c r="B341" s="16">
        <f>COUNTIFS(Table2[What is your age category?],Condition_1,Table2[Are you aware of ‘Your Service Your Say’ (HSE Complaints Process):],A341)</f>
        <v>0</v>
      </c>
      <c r="C341" s="17" t="e">
        <f t="shared" ref="C341:C343" si="43">B341/No_who_answered_survey*100</f>
        <v>#DIV/0!</v>
      </c>
      <c r="D341" s="17" t="e">
        <f>B341/(No_who_answered_survey-COUNTIFS(Table2[What is your age category?],Condition_1,Table2[Are you aware of ‘Your Service Your Say’ (HSE Complaints Process):],"Not answered"))*100</f>
        <v>#DIV/0!</v>
      </c>
    </row>
    <row r="342" spans="1:4">
      <c r="A342" s="15" t="str">
        <f>'Validation List'!AI7</f>
        <v>No</v>
      </c>
      <c r="B342" s="16">
        <f>COUNTIFS(Table2[What is your age category?],Condition_1,Table2[Are you aware of ‘Your Service Your Say’ (HSE Complaints Process):],A342)</f>
        <v>0</v>
      </c>
      <c r="C342" s="17" t="e">
        <f t="shared" si="43"/>
        <v>#DIV/0!</v>
      </c>
      <c r="D342" s="17" t="e">
        <f>B342/(No_who_answered_survey-COUNTIFS(Table2[What is your age category?],Condition_1,Table2[Are you aware of ‘Your Service Your Say’ (HSE Complaints Process):],"Not answered"))*100</f>
        <v>#DIV/0!</v>
      </c>
    </row>
    <row r="343" spans="1:4">
      <c r="A343" s="15" t="str">
        <f>'Validation List'!AI15</f>
        <v>Not answered</v>
      </c>
      <c r="B343" s="16">
        <f>COUNTIFS(Table2[What is your age category?],Condition_1,Table2[Are you aware of ‘Your Service Your Say’ (HSE Complaints Process):],A343)</f>
        <v>0</v>
      </c>
      <c r="C343" s="17" t="e">
        <f t="shared" si="43"/>
        <v>#DIV/0!</v>
      </c>
      <c r="D343" s="17"/>
    </row>
    <row r="344" spans="1:4">
      <c r="A344" s="15" t="s">
        <v>39</v>
      </c>
      <c r="B344" s="16">
        <f>SUM(B341:B343)</f>
        <v>0</v>
      </c>
      <c r="C344" s="17" t="e">
        <f>SUM(C341:C343)</f>
        <v>#DIV/0!</v>
      </c>
      <c r="D344" s="17" t="e">
        <f>SUM(D341:D343)</f>
        <v>#DIV/0!</v>
      </c>
    </row>
    <row r="345" spans="1:4">
      <c r="A345" s="19"/>
      <c r="B345" s="20"/>
      <c r="C345" s="21"/>
      <c r="D345" s="21"/>
    </row>
    <row r="346" spans="1:4">
      <c r="A346" s="18"/>
      <c r="B346" s="13"/>
      <c r="C346" s="22"/>
      <c r="D346" s="22"/>
    </row>
    <row r="347" spans="1:4">
      <c r="A347" s="13"/>
      <c r="B347" s="13"/>
      <c r="C347" s="22"/>
      <c r="D347" s="13"/>
    </row>
    <row r="348" spans="1:4">
      <c r="A348" s="13"/>
      <c r="B348" s="13"/>
      <c r="C348" s="22"/>
      <c r="D348" s="13"/>
    </row>
    <row r="349" spans="1:4">
      <c r="A349" s="13"/>
      <c r="B349" s="13"/>
      <c r="C349" s="22"/>
      <c r="D349" s="13"/>
    </row>
    <row r="350" spans="1:4">
      <c r="A350" s="13"/>
      <c r="B350" s="13"/>
      <c r="C350" s="22"/>
      <c r="D350" s="13"/>
    </row>
    <row r="351" spans="1:4">
      <c r="A351" s="13"/>
      <c r="B351" s="13"/>
      <c r="C351" s="22"/>
      <c r="D351" s="13"/>
    </row>
    <row r="352" spans="1:4">
      <c r="A352" s="13"/>
      <c r="B352" s="13"/>
      <c r="C352" s="22"/>
      <c r="D352" s="13"/>
    </row>
    <row r="353" spans="1:4">
      <c r="A353" s="13"/>
      <c r="B353" s="13"/>
      <c r="C353" s="22"/>
      <c r="D353" s="13"/>
    </row>
    <row r="354" spans="1:4">
      <c r="A354" s="13"/>
      <c r="B354" s="13"/>
      <c r="C354" s="22"/>
      <c r="D354" s="13"/>
    </row>
    <row r="355" spans="1:4">
      <c r="A355" s="13"/>
      <c r="B355" s="13"/>
      <c r="C355" s="22"/>
      <c r="D355" s="13"/>
    </row>
    <row r="356" spans="1:4">
      <c r="A356" s="13"/>
      <c r="B356" s="13"/>
      <c r="C356" s="22"/>
      <c r="D356" s="13"/>
    </row>
    <row r="357" spans="1:4">
      <c r="A357" s="13"/>
      <c r="B357" s="13"/>
      <c r="C357" s="22"/>
      <c r="D357" s="13"/>
    </row>
    <row r="358" spans="1:4">
      <c r="A358" s="13"/>
      <c r="B358" s="13"/>
      <c r="C358" s="22"/>
      <c r="D358" s="13"/>
    </row>
    <row r="359" spans="1:4">
      <c r="A359" s="13"/>
      <c r="B359" s="13"/>
      <c r="C359" s="22"/>
      <c r="D359" s="13"/>
    </row>
    <row r="360" spans="1:4">
      <c r="A360" s="13"/>
      <c r="B360" s="13"/>
      <c r="C360" s="22"/>
      <c r="D360" s="13"/>
    </row>
    <row r="361" spans="1:4">
      <c r="A361" s="13"/>
      <c r="B361" s="13"/>
      <c r="C361" s="22"/>
      <c r="D361" s="13"/>
    </row>
    <row r="362" spans="1:4">
      <c r="A362" s="13"/>
      <c r="B362" s="13"/>
      <c r="C362" s="22"/>
      <c r="D362" s="13"/>
    </row>
    <row r="363" spans="1:4">
      <c r="A363" s="13"/>
      <c r="B363" s="13"/>
      <c r="C363" s="22"/>
      <c r="D363" s="13"/>
    </row>
    <row r="364" spans="1:4">
      <c r="A364" s="13"/>
      <c r="B364" s="13"/>
      <c r="C364" s="22"/>
      <c r="D364" s="13"/>
    </row>
    <row r="365" spans="1:4">
      <c r="A365" s="13"/>
      <c r="B365" s="13"/>
      <c r="C365" s="22"/>
      <c r="D365" s="13"/>
    </row>
    <row r="366" spans="1:4">
      <c r="A366" s="13"/>
      <c r="B366" s="13"/>
      <c r="C366" s="22"/>
      <c r="D366" s="13"/>
    </row>
    <row r="367" spans="1:4">
      <c r="A367" s="13"/>
      <c r="B367" s="13"/>
      <c r="C367" s="22"/>
      <c r="D367" s="13"/>
    </row>
    <row r="368" spans="1:4">
      <c r="A368" s="13"/>
      <c r="B368" s="13"/>
      <c r="C368" s="22"/>
      <c r="D368" s="13"/>
    </row>
    <row r="369" spans="1:4">
      <c r="A369" s="13"/>
      <c r="B369" s="13"/>
      <c r="C369" s="22"/>
      <c r="D369" s="13"/>
    </row>
    <row r="370" spans="1:4">
      <c r="A370" s="13"/>
      <c r="B370" s="13"/>
      <c r="C370" s="22"/>
      <c r="D370" s="13"/>
    </row>
    <row r="371" spans="1:4">
      <c r="A371" s="13"/>
      <c r="B371" s="13"/>
      <c r="C371" s="22"/>
      <c r="D371" s="13"/>
    </row>
    <row r="372" spans="1:4">
      <c r="A372" s="13"/>
      <c r="B372" s="13"/>
      <c r="C372" s="22"/>
      <c r="D372" s="13"/>
    </row>
    <row r="373" spans="1:4">
      <c r="A373" s="13"/>
      <c r="B373" s="13"/>
      <c r="C373" s="22"/>
      <c r="D373" s="13"/>
    </row>
    <row r="374" spans="1:4">
      <c r="A374" s="13"/>
      <c r="B374" s="13"/>
      <c r="C374" s="22"/>
      <c r="D374" s="13"/>
    </row>
    <row r="375" spans="1:4">
      <c r="A375" s="13"/>
      <c r="B375" s="13"/>
      <c r="C375" s="22"/>
      <c r="D375" s="13"/>
    </row>
    <row r="376" spans="1:4">
      <c r="A376" s="13"/>
      <c r="B376" s="13"/>
      <c r="C376" s="22"/>
      <c r="D376" s="13"/>
    </row>
    <row r="377" spans="1:4">
      <c r="A377" s="13"/>
      <c r="B377" s="13"/>
      <c r="C377" s="22"/>
      <c r="D377" s="13"/>
    </row>
    <row r="378" spans="1:4">
      <c r="A378" s="13"/>
      <c r="B378" s="13"/>
      <c r="C378" s="22"/>
      <c r="D378" s="13"/>
    </row>
    <row r="379" spans="1:4">
      <c r="A379" s="13"/>
      <c r="B379" s="13"/>
      <c r="C379" s="22"/>
      <c r="D379" s="13"/>
    </row>
    <row r="380" spans="1:4">
      <c r="A380" s="13"/>
      <c r="B380" s="13"/>
      <c r="C380" s="22"/>
      <c r="D380" s="13"/>
    </row>
    <row r="381" spans="1:4">
      <c r="A381" s="13"/>
      <c r="B381" s="13"/>
      <c r="C381" s="22"/>
      <c r="D381" s="13"/>
    </row>
    <row r="382" spans="1:4">
      <c r="A382" s="13"/>
      <c r="B382" s="13"/>
      <c r="C382" s="22"/>
      <c r="D382" s="13"/>
    </row>
    <row r="383" spans="1:4">
      <c r="A383" s="13"/>
      <c r="B383" s="13"/>
      <c r="C383" s="22"/>
      <c r="D383" s="13"/>
    </row>
    <row r="384" spans="1:4">
      <c r="A384" s="13"/>
      <c r="B384" s="13"/>
      <c r="C384" s="22"/>
      <c r="D384" s="13"/>
    </row>
    <row r="385" spans="1:8">
      <c r="A385" s="13"/>
      <c r="B385" s="13"/>
      <c r="C385" s="22"/>
      <c r="D385" s="13"/>
    </row>
    <row r="386" spans="1:8">
      <c r="A386" s="13"/>
      <c r="B386" s="13"/>
      <c r="C386" s="22"/>
      <c r="D386" s="13"/>
    </row>
    <row r="387" spans="1:8">
      <c r="A387" s="13"/>
      <c r="B387" s="13"/>
      <c r="C387" s="22"/>
      <c r="D387" s="13"/>
    </row>
    <row r="388" spans="1:8">
      <c r="A388" s="13"/>
      <c r="B388" s="13"/>
      <c r="C388" s="22"/>
      <c r="D388" s="13"/>
    </row>
    <row r="389" spans="1:8">
      <c r="A389" s="13"/>
      <c r="B389" s="13"/>
      <c r="C389" s="22"/>
      <c r="D389" s="13"/>
    </row>
    <row r="390" spans="1:8">
      <c r="A390" s="13"/>
      <c r="B390" s="13"/>
      <c r="C390" s="22"/>
      <c r="D390" s="13"/>
    </row>
    <row r="391" spans="1:8">
      <c r="A391" s="13"/>
      <c r="B391" s="13"/>
      <c r="C391" s="22"/>
      <c r="D391" s="13"/>
    </row>
    <row r="392" spans="1:8">
      <c r="A392" s="13"/>
      <c r="B392" s="13"/>
      <c r="C392" s="22"/>
      <c r="D392" s="13"/>
    </row>
    <row r="393" spans="1:8">
      <c r="A393" s="13"/>
      <c r="B393" s="13"/>
      <c r="C393" s="22"/>
      <c r="D393" s="13"/>
    </row>
    <row r="394" spans="1:8">
      <c r="A394" s="13"/>
      <c r="B394" s="13"/>
      <c r="C394" s="22"/>
      <c r="D394" s="13"/>
    </row>
    <row r="395" spans="1:8">
      <c r="A395" s="18"/>
      <c r="B395" s="18"/>
      <c r="C395" s="23"/>
      <c r="D395" s="18"/>
      <c r="E395" s="26"/>
      <c r="F395" s="26"/>
      <c r="G395" s="26"/>
      <c r="H395" s="26"/>
    </row>
    <row r="396" spans="1:8">
      <c r="A396" s="13"/>
      <c r="B396" s="13"/>
      <c r="C396" s="22"/>
      <c r="D396" s="13"/>
    </row>
    <row r="397" spans="1:8">
      <c r="A397" s="13"/>
      <c r="B397" s="13"/>
      <c r="C397" s="22"/>
      <c r="D397" s="13"/>
    </row>
    <row r="398" spans="1:8">
      <c r="A398" s="13"/>
      <c r="B398" s="13"/>
      <c r="C398" s="22"/>
      <c r="D398" s="13"/>
    </row>
    <row r="399" spans="1:8">
      <c r="A399" s="13"/>
      <c r="B399" s="13"/>
      <c r="C399" s="22"/>
      <c r="D399" s="13"/>
    </row>
    <row r="400" spans="1:8">
      <c r="A400" s="13"/>
      <c r="B400" s="13"/>
      <c r="C400" s="22"/>
      <c r="D400" s="13"/>
    </row>
    <row r="401" spans="1:4">
      <c r="A401" s="13"/>
      <c r="B401" s="13"/>
      <c r="C401" s="22"/>
      <c r="D401" s="13"/>
    </row>
    <row r="402" spans="1:4">
      <c r="A402" s="13"/>
      <c r="B402" s="13"/>
      <c r="C402" s="22"/>
      <c r="D402" s="13"/>
    </row>
    <row r="403" spans="1:4">
      <c r="A403" s="13"/>
      <c r="B403" s="13"/>
      <c r="C403" s="22"/>
      <c r="D403" s="13"/>
    </row>
    <row r="404" spans="1:4">
      <c r="A404" s="13"/>
      <c r="B404" s="13"/>
      <c r="C404" s="22"/>
      <c r="D404" s="13"/>
    </row>
    <row r="405" spans="1:4">
      <c r="A405" s="13"/>
      <c r="B405" s="13"/>
      <c r="C405" s="22"/>
      <c r="D405" s="13"/>
    </row>
    <row r="406" spans="1:4">
      <c r="A406" s="13"/>
      <c r="B406" s="13"/>
      <c r="C406" s="22"/>
      <c r="D406" s="13"/>
    </row>
    <row r="407" spans="1:4">
      <c r="A407" s="13"/>
      <c r="B407" s="13"/>
      <c r="C407" s="22"/>
      <c r="D407" s="13"/>
    </row>
    <row r="408" spans="1:4">
      <c r="A408" s="13"/>
      <c r="B408" s="13"/>
      <c r="C408" s="22"/>
      <c r="D408" s="13"/>
    </row>
    <row r="409" spans="1:4">
      <c r="A409" s="13"/>
      <c r="B409" s="13"/>
      <c r="C409" s="22"/>
      <c r="D409" s="13"/>
    </row>
    <row r="410" spans="1:4">
      <c r="A410" s="13"/>
      <c r="B410" s="13"/>
      <c r="C410" s="22"/>
      <c r="D410" s="13"/>
    </row>
    <row r="411" spans="1:4">
      <c r="A411" s="13"/>
      <c r="B411" s="13"/>
      <c r="C411" s="22"/>
      <c r="D411" s="13"/>
    </row>
    <row r="412" spans="1:4">
      <c r="A412" s="13"/>
      <c r="B412" s="13"/>
      <c r="C412" s="22"/>
      <c r="D412" s="13"/>
    </row>
    <row r="413" spans="1:4">
      <c r="A413" s="13"/>
      <c r="B413" s="13"/>
      <c r="C413" s="22"/>
      <c r="D413" s="13"/>
    </row>
    <row r="414" spans="1:4">
      <c r="A414" s="13"/>
      <c r="B414" s="13"/>
      <c r="C414" s="22"/>
      <c r="D414" s="13"/>
    </row>
    <row r="415" spans="1:4">
      <c r="A415" s="13"/>
      <c r="B415" s="13"/>
      <c r="C415" s="22"/>
      <c r="D415" s="13"/>
    </row>
    <row r="416" spans="1:4">
      <c r="A416" s="13"/>
      <c r="B416" s="13"/>
      <c r="C416" s="22"/>
      <c r="D416" s="13"/>
    </row>
    <row r="417" spans="1:4">
      <c r="A417" s="13"/>
      <c r="B417" s="13"/>
      <c r="C417" s="22"/>
      <c r="D417" s="13"/>
    </row>
    <row r="418" spans="1:4">
      <c r="A418" s="13"/>
      <c r="B418" s="13"/>
      <c r="C418" s="22"/>
      <c r="D418" s="13"/>
    </row>
    <row r="419" spans="1:4">
      <c r="A419" s="13"/>
      <c r="B419" s="13"/>
      <c r="C419" s="22"/>
      <c r="D419" s="13"/>
    </row>
    <row r="420" spans="1:4">
      <c r="A420" s="13"/>
      <c r="B420" s="13"/>
      <c r="C420" s="22"/>
      <c r="D420" s="13"/>
    </row>
    <row r="421" spans="1:4">
      <c r="A421" s="13"/>
      <c r="B421" s="13"/>
      <c r="C421" s="22"/>
      <c r="D421" s="13"/>
    </row>
    <row r="422" spans="1:4">
      <c r="A422" s="13"/>
      <c r="B422" s="13"/>
      <c r="C422" s="22"/>
      <c r="D422" s="13"/>
    </row>
    <row r="423" spans="1:4">
      <c r="A423" s="13"/>
      <c r="B423" s="13"/>
      <c r="C423" s="22"/>
      <c r="D423" s="13"/>
    </row>
    <row r="424" spans="1:4">
      <c r="A424" s="13"/>
      <c r="B424" s="13"/>
      <c r="C424" s="22"/>
      <c r="D424" s="13"/>
    </row>
    <row r="425" spans="1:4">
      <c r="A425" s="13"/>
      <c r="B425" s="13"/>
      <c r="C425" s="22"/>
      <c r="D425" s="13"/>
    </row>
    <row r="426" spans="1:4">
      <c r="A426" s="13"/>
      <c r="B426" s="13"/>
      <c r="C426" s="22"/>
      <c r="D426" s="13"/>
    </row>
    <row r="427" spans="1:4">
      <c r="A427" s="13"/>
      <c r="B427" s="13"/>
      <c r="C427" s="22"/>
      <c r="D427" s="13"/>
    </row>
    <row r="428" spans="1:4">
      <c r="A428" s="13"/>
      <c r="B428" s="13"/>
      <c r="C428" s="22"/>
      <c r="D428" s="13"/>
    </row>
    <row r="429" spans="1:4">
      <c r="A429" s="13"/>
      <c r="B429" s="13"/>
      <c r="C429" s="22"/>
      <c r="D429" s="13"/>
    </row>
    <row r="430" spans="1:4">
      <c r="A430" s="13"/>
      <c r="B430" s="13"/>
      <c r="C430" s="22"/>
      <c r="D430" s="13"/>
    </row>
    <row r="431" spans="1:4">
      <c r="A431" s="13"/>
      <c r="B431" s="13"/>
      <c r="C431" s="22"/>
      <c r="D431" s="13"/>
    </row>
    <row r="432" spans="1:4">
      <c r="A432" s="13"/>
      <c r="B432" s="13"/>
      <c r="C432" s="22"/>
      <c r="D432" s="13"/>
    </row>
    <row r="433" spans="1:4">
      <c r="A433" s="13"/>
      <c r="B433" s="13"/>
      <c r="C433" s="22"/>
      <c r="D433" s="13"/>
    </row>
    <row r="434" spans="1:4">
      <c r="A434" s="13"/>
      <c r="B434" s="13"/>
      <c r="C434" s="22"/>
      <c r="D434" s="13"/>
    </row>
    <row r="435" spans="1:4">
      <c r="A435" s="13"/>
      <c r="B435" s="13"/>
      <c r="C435" s="22"/>
      <c r="D435" s="13"/>
    </row>
    <row r="436" spans="1:4">
      <c r="A436" s="13"/>
      <c r="B436" s="13"/>
      <c r="C436" s="22"/>
      <c r="D436" s="13"/>
    </row>
    <row r="437" spans="1:4">
      <c r="A437" s="13"/>
      <c r="B437" s="13"/>
      <c r="C437" s="22"/>
      <c r="D437" s="13"/>
    </row>
    <row r="438" spans="1:4">
      <c r="A438" s="13"/>
      <c r="B438" s="13"/>
      <c r="C438" s="22"/>
      <c r="D438" s="13"/>
    </row>
    <row r="439" spans="1:4">
      <c r="A439" s="13"/>
      <c r="B439" s="13"/>
      <c r="C439" s="22"/>
      <c r="D439" s="13"/>
    </row>
    <row r="440" spans="1:4">
      <c r="A440" s="13"/>
      <c r="B440" s="13"/>
      <c r="C440" s="22"/>
      <c r="D440" s="13"/>
    </row>
    <row r="441" spans="1:4">
      <c r="A441" s="13"/>
      <c r="B441" s="13"/>
      <c r="C441" s="22"/>
      <c r="D441" s="13"/>
    </row>
    <row r="442" spans="1:4">
      <c r="A442" s="13"/>
      <c r="B442" s="13"/>
      <c r="C442" s="22"/>
      <c r="D442" s="13"/>
    </row>
    <row r="443" spans="1:4">
      <c r="A443" s="13"/>
      <c r="B443" s="13"/>
      <c r="C443" s="22"/>
      <c r="D443" s="13"/>
    </row>
    <row r="444" spans="1:4">
      <c r="A444" s="13"/>
      <c r="B444" s="13"/>
      <c r="C444" s="22"/>
      <c r="D444" s="13"/>
    </row>
    <row r="445" spans="1:4">
      <c r="A445" s="13"/>
      <c r="B445" s="13"/>
      <c r="C445" s="22"/>
      <c r="D445" s="13"/>
    </row>
    <row r="446" spans="1:4">
      <c r="A446" s="13"/>
      <c r="B446" s="13"/>
      <c r="C446" s="22"/>
      <c r="D446" s="13"/>
    </row>
    <row r="447" spans="1:4">
      <c r="A447" s="13"/>
      <c r="B447" s="13"/>
      <c r="C447" s="22"/>
      <c r="D447" s="13"/>
    </row>
    <row r="448" spans="1:4">
      <c r="A448" s="13"/>
      <c r="B448" s="13"/>
      <c r="C448" s="22"/>
      <c r="D448" s="13"/>
    </row>
    <row r="449" spans="1:4">
      <c r="A449" s="13"/>
      <c r="B449" s="13"/>
      <c r="C449" s="22"/>
      <c r="D449" s="13"/>
    </row>
    <row r="450" spans="1:4">
      <c r="A450" s="13"/>
      <c r="B450" s="13"/>
      <c r="C450" s="22"/>
      <c r="D450" s="13"/>
    </row>
    <row r="451" spans="1:4">
      <c r="A451" s="13"/>
      <c r="B451" s="13"/>
      <c r="C451" s="22"/>
      <c r="D451" s="13"/>
    </row>
    <row r="452" spans="1:4">
      <c r="A452" s="13"/>
      <c r="B452" s="13"/>
      <c r="C452" s="22"/>
      <c r="D452" s="13"/>
    </row>
    <row r="453" spans="1:4">
      <c r="A453" s="13"/>
      <c r="B453" s="13"/>
      <c r="C453" s="22"/>
      <c r="D453" s="13"/>
    </row>
    <row r="454" spans="1:4">
      <c r="A454" s="13"/>
      <c r="B454" s="13"/>
      <c r="C454" s="22"/>
      <c r="D454" s="13"/>
    </row>
    <row r="455" spans="1:4">
      <c r="A455" s="13"/>
      <c r="B455" s="13"/>
      <c r="C455" s="22"/>
      <c r="D455" s="13"/>
    </row>
    <row r="456" spans="1:4">
      <c r="A456" s="13"/>
      <c r="B456" s="13"/>
      <c r="C456" s="22"/>
      <c r="D456" s="13"/>
    </row>
    <row r="457" spans="1:4">
      <c r="A457" s="13"/>
      <c r="B457" s="13"/>
      <c r="C457" s="22"/>
      <c r="D457" s="13"/>
    </row>
    <row r="458" spans="1:4">
      <c r="A458" s="13"/>
      <c r="B458" s="13"/>
      <c r="C458" s="22"/>
      <c r="D458" s="13"/>
    </row>
    <row r="459" spans="1:4">
      <c r="A459" s="13"/>
      <c r="B459" s="13"/>
      <c r="C459" s="22"/>
      <c r="D459" s="13"/>
    </row>
    <row r="460" spans="1:4">
      <c r="A460" s="13"/>
      <c r="B460" s="13"/>
      <c r="C460" s="22"/>
      <c r="D460" s="13"/>
    </row>
    <row r="461" spans="1:4">
      <c r="A461" s="13"/>
      <c r="B461" s="13"/>
      <c r="C461" s="22"/>
      <c r="D461" s="13"/>
    </row>
    <row r="462" spans="1:4">
      <c r="A462" s="13"/>
      <c r="B462" s="13"/>
      <c r="C462" s="22"/>
      <c r="D462" s="13"/>
    </row>
    <row r="463" spans="1:4">
      <c r="A463" s="13"/>
      <c r="B463" s="13"/>
      <c r="C463" s="22"/>
      <c r="D463" s="13"/>
    </row>
    <row r="464" spans="1:4">
      <c r="A464" s="13"/>
      <c r="B464" s="13"/>
      <c r="C464" s="22"/>
      <c r="D464" s="13"/>
    </row>
    <row r="465" spans="1:4">
      <c r="A465" s="13"/>
      <c r="B465" s="13"/>
      <c r="C465" s="22"/>
      <c r="D465" s="13"/>
    </row>
    <row r="466" spans="1:4">
      <c r="A466" s="13"/>
      <c r="B466" s="13"/>
      <c r="C466" s="22"/>
      <c r="D466" s="13"/>
    </row>
    <row r="467" spans="1:4">
      <c r="A467" s="13"/>
      <c r="B467" s="13"/>
      <c r="C467" s="22"/>
      <c r="D467" s="13"/>
    </row>
    <row r="468" spans="1:4">
      <c r="A468" s="13"/>
      <c r="B468" s="13"/>
      <c r="C468" s="22"/>
      <c r="D468" s="13"/>
    </row>
    <row r="469" spans="1:4">
      <c r="A469" s="13"/>
      <c r="B469" s="13"/>
      <c r="C469" s="22"/>
      <c r="D469" s="13"/>
    </row>
    <row r="470" spans="1:4">
      <c r="A470" s="13"/>
      <c r="B470" s="13"/>
      <c r="C470" s="22"/>
      <c r="D470" s="13"/>
    </row>
    <row r="471" spans="1:4">
      <c r="A471" s="13"/>
      <c r="B471" s="13"/>
      <c r="C471" s="22"/>
      <c r="D471" s="13"/>
    </row>
    <row r="472" spans="1:4">
      <c r="A472" s="13"/>
      <c r="B472" s="13"/>
      <c r="C472" s="22"/>
      <c r="D472" s="13"/>
    </row>
    <row r="473" spans="1:4">
      <c r="A473" s="13"/>
      <c r="B473" s="13"/>
      <c r="C473" s="22"/>
      <c r="D473" s="13"/>
    </row>
    <row r="474" spans="1:4">
      <c r="A474" s="13"/>
      <c r="B474" s="13"/>
      <c r="C474" s="22"/>
      <c r="D474" s="13"/>
    </row>
    <row r="475" spans="1:4">
      <c r="A475" s="13"/>
      <c r="B475" s="13"/>
      <c r="C475" s="22"/>
      <c r="D475" s="13"/>
    </row>
    <row r="476" spans="1:4">
      <c r="A476" s="13"/>
      <c r="B476" s="13"/>
      <c r="C476" s="22"/>
      <c r="D476" s="13"/>
    </row>
    <row r="477" spans="1:4">
      <c r="A477" s="13"/>
      <c r="B477" s="13"/>
      <c r="C477" s="22"/>
      <c r="D477" s="13"/>
    </row>
    <row r="478" spans="1:4">
      <c r="A478" s="13"/>
      <c r="B478" s="13"/>
      <c r="C478" s="22"/>
      <c r="D478" s="13"/>
    </row>
    <row r="479" spans="1:4">
      <c r="A479" s="13"/>
      <c r="B479" s="13"/>
      <c r="C479" s="22"/>
      <c r="D479" s="13"/>
    </row>
    <row r="480" spans="1:4">
      <c r="A480" s="13"/>
      <c r="B480" s="13"/>
      <c r="C480" s="22"/>
      <c r="D480" s="13"/>
    </row>
    <row r="481" spans="1:4">
      <c r="A481" s="13"/>
      <c r="B481" s="13"/>
      <c r="C481" s="22"/>
      <c r="D481" s="13"/>
    </row>
    <row r="482" spans="1:4">
      <c r="A482" s="13"/>
      <c r="B482" s="13"/>
      <c r="C482" s="22"/>
      <c r="D482" s="13"/>
    </row>
    <row r="483" spans="1:4">
      <c r="A483" s="13"/>
      <c r="B483" s="13"/>
      <c r="C483" s="22"/>
      <c r="D483" s="13"/>
    </row>
    <row r="484" spans="1:4">
      <c r="A484" s="13"/>
      <c r="B484" s="13"/>
      <c r="C484" s="22"/>
      <c r="D484" s="13"/>
    </row>
    <row r="485" spans="1:4">
      <c r="A485" s="13"/>
      <c r="B485" s="13"/>
      <c r="C485" s="22"/>
      <c r="D485" s="13"/>
    </row>
    <row r="486" spans="1:4">
      <c r="A486" s="13"/>
      <c r="B486" s="13"/>
      <c r="C486" s="22"/>
      <c r="D486" s="13"/>
    </row>
    <row r="487" spans="1:4">
      <c r="A487" s="13"/>
      <c r="B487" s="13"/>
      <c r="C487" s="22"/>
      <c r="D487" s="13"/>
    </row>
    <row r="488" spans="1:4">
      <c r="A488" s="13"/>
      <c r="B488" s="13"/>
      <c r="C488" s="22"/>
      <c r="D488" s="13"/>
    </row>
    <row r="489" spans="1:4">
      <c r="A489" s="13"/>
      <c r="B489" s="13"/>
      <c r="C489" s="22"/>
      <c r="D489" s="13"/>
    </row>
    <row r="490" spans="1:4">
      <c r="A490" s="13"/>
      <c r="B490" s="13"/>
      <c r="C490" s="22"/>
      <c r="D490" s="13"/>
    </row>
    <row r="491" spans="1:4">
      <c r="A491" s="13"/>
      <c r="B491" s="13"/>
      <c r="C491" s="22"/>
      <c r="D491" s="13"/>
    </row>
    <row r="492" spans="1:4">
      <c r="A492" s="13"/>
      <c r="B492" s="13"/>
      <c r="C492" s="22"/>
      <c r="D492" s="13"/>
    </row>
    <row r="493" spans="1:4">
      <c r="A493" s="13"/>
      <c r="B493" s="13"/>
      <c r="C493" s="22"/>
      <c r="D493" s="13"/>
    </row>
    <row r="494" spans="1:4">
      <c r="A494" s="13"/>
      <c r="B494" s="13"/>
      <c r="C494" s="22"/>
      <c r="D494" s="13"/>
    </row>
    <row r="495" spans="1:4">
      <c r="A495" s="13"/>
      <c r="B495" s="13"/>
      <c r="C495" s="22"/>
      <c r="D495" s="13"/>
    </row>
    <row r="496" spans="1:4">
      <c r="A496" s="13"/>
      <c r="B496" s="13"/>
      <c r="C496" s="22"/>
      <c r="D496" s="13"/>
    </row>
    <row r="497" spans="1:4">
      <c r="A497" s="13"/>
      <c r="B497" s="13"/>
      <c r="C497" s="22"/>
      <c r="D497" s="13"/>
    </row>
    <row r="498" spans="1:4">
      <c r="A498" s="13"/>
      <c r="B498" s="13"/>
      <c r="C498" s="22"/>
      <c r="D498" s="13"/>
    </row>
    <row r="499" spans="1:4">
      <c r="A499" s="13"/>
      <c r="B499" s="13"/>
      <c r="C499" s="22"/>
      <c r="D499" s="13"/>
    </row>
    <row r="500" spans="1:4">
      <c r="A500" s="13"/>
      <c r="B500" s="13"/>
      <c r="C500" s="22"/>
      <c r="D500" s="13"/>
    </row>
    <row r="501" spans="1:4">
      <c r="A501" s="13"/>
      <c r="B501" s="13"/>
      <c r="C501" s="22"/>
      <c r="D501" s="13"/>
    </row>
    <row r="502" spans="1:4">
      <c r="A502" s="13"/>
      <c r="B502" s="13"/>
      <c r="C502" s="22"/>
      <c r="D502" s="13"/>
    </row>
    <row r="503" spans="1:4">
      <c r="A503" s="13"/>
      <c r="B503" s="13"/>
      <c r="C503" s="22"/>
      <c r="D503" s="13"/>
    </row>
    <row r="504" spans="1:4">
      <c r="A504" s="13"/>
      <c r="B504" s="13"/>
      <c r="C504" s="22"/>
      <c r="D504" s="13"/>
    </row>
    <row r="505" spans="1:4">
      <c r="A505" s="13"/>
      <c r="B505" s="13"/>
      <c r="C505" s="22"/>
      <c r="D505" s="13"/>
    </row>
    <row r="506" spans="1:4">
      <c r="A506" s="13"/>
      <c r="B506" s="13"/>
      <c r="C506" s="22"/>
      <c r="D506" s="13"/>
    </row>
    <row r="507" spans="1:4">
      <c r="A507" s="13"/>
      <c r="B507" s="13"/>
      <c r="C507" s="22"/>
      <c r="D507" s="13"/>
    </row>
    <row r="508" spans="1:4">
      <c r="A508" s="13"/>
      <c r="B508" s="13"/>
      <c r="C508" s="22"/>
      <c r="D508" s="13"/>
    </row>
    <row r="509" spans="1:4">
      <c r="A509" s="13"/>
      <c r="B509" s="13"/>
      <c r="C509" s="22"/>
      <c r="D509" s="13"/>
    </row>
    <row r="510" spans="1:4">
      <c r="A510" s="13"/>
      <c r="B510" s="13"/>
      <c r="C510" s="22"/>
      <c r="D510" s="13"/>
    </row>
    <row r="511" spans="1:4">
      <c r="A511" s="13"/>
      <c r="B511" s="13"/>
      <c r="C511" s="22"/>
      <c r="D511" s="13"/>
    </row>
    <row r="512" spans="1:4">
      <c r="A512" s="13"/>
      <c r="B512" s="13"/>
      <c r="C512" s="22"/>
      <c r="D512" s="13"/>
    </row>
    <row r="513" spans="1:4">
      <c r="A513" s="13"/>
      <c r="B513" s="13"/>
      <c r="C513" s="22"/>
      <c r="D513" s="13"/>
    </row>
    <row r="514" spans="1:4">
      <c r="A514" s="13"/>
      <c r="B514" s="13"/>
      <c r="C514" s="22"/>
      <c r="D514" s="13"/>
    </row>
    <row r="515" spans="1:4">
      <c r="A515" s="13"/>
      <c r="B515" s="13"/>
      <c r="C515" s="22"/>
      <c r="D515" s="13"/>
    </row>
    <row r="516" spans="1:4">
      <c r="A516" s="13"/>
      <c r="B516" s="13"/>
      <c r="C516" s="22"/>
      <c r="D516" s="13"/>
    </row>
    <row r="517" spans="1:4">
      <c r="A517" s="13"/>
      <c r="B517" s="13"/>
      <c r="C517" s="22"/>
      <c r="D517" s="13"/>
    </row>
    <row r="518" spans="1:4">
      <c r="A518" s="13"/>
      <c r="B518" s="13"/>
      <c r="C518" s="22"/>
      <c r="D518" s="13"/>
    </row>
    <row r="519" spans="1:4">
      <c r="A519" s="13"/>
      <c r="B519" s="13"/>
      <c r="C519" s="22"/>
      <c r="D519" s="13"/>
    </row>
    <row r="520" spans="1:4">
      <c r="A520" s="13"/>
      <c r="B520" s="13"/>
      <c r="C520" s="22"/>
      <c r="D520" s="13"/>
    </row>
    <row r="521" spans="1:4">
      <c r="A521" s="13"/>
      <c r="B521" s="13"/>
      <c r="C521" s="22"/>
      <c r="D521" s="13"/>
    </row>
    <row r="522" spans="1:4">
      <c r="A522" s="13"/>
      <c r="B522" s="13"/>
      <c r="C522" s="22"/>
      <c r="D522" s="13"/>
    </row>
    <row r="523" spans="1:4">
      <c r="A523" s="13"/>
      <c r="B523" s="13"/>
      <c r="C523" s="22"/>
      <c r="D523" s="13"/>
    </row>
    <row r="524" spans="1:4">
      <c r="A524" s="13"/>
      <c r="B524" s="13"/>
      <c r="C524" s="22"/>
      <c r="D524" s="13"/>
    </row>
    <row r="525" spans="1:4">
      <c r="A525" s="13"/>
      <c r="B525" s="13"/>
      <c r="C525" s="22"/>
      <c r="D525" s="13"/>
    </row>
    <row r="526" spans="1:4">
      <c r="A526" s="13"/>
      <c r="B526" s="13"/>
      <c r="C526" s="22"/>
      <c r="D526" s="13"/>
    </row>
    <row r="527" spans="1:4">
      <c r="A527" s="13"/>
      <c r="B527" s="13"/>
      <c r="C527" s="22"/>
      <c r="D527" s="13"/>
    </row>
    <row r="528" spans="1:4">
      <c r="A528" s="13"/>
      <c r="B528" s="13"/>
      <c r="C528" s="22"/>
      <c r="D528" s="13"/>
    </row>
    <row r="529" spans="1:4">
      <c r="A529" s="13"/>
      <c r="B529" s="13"/>
      <c r="C529" s="22"/>
      <c r="D529" s="13"/>
    </row>
    <row r="530" spans="1:4">
      <c r="A530" s="13"/>
      <c r="B530" s="13"/>
      <c r="C530" s="22"/>
      <c r="D530" s="13"/>
    </row>
    <row r="531" spans="1:4">
      <c r="A531" s="13"/>
      <c r="B531" s="13"/>
      <c r="C531" s="22"/>
      <c r="D531" s="13"/>
    </row>
    <row r="532" spans="1:4">
      <c r="A532" s="13"/>
      <c r="B532" s="13"/>
      <c r="C532" s="22"/>
      <c r="D532" s="13"/>
    </row>
    <row r="533" spans="1:4">
      <c r="A533" s="13"/>
      <c r="B533" s="13"/>
      <c r="C533" s="22"/>
      <c r="D533" s="13"/>
    </row>
    <row r="534" spans="1:4">
      <c r="A534" s="13"/>
      <c r="B534" s="13"/>
      <c r="C534" s="22"/>
      <c r="D534" s="13"/>
    </row>
    <row r="535" spans="1:4">
      <c r="A535" s="13"/>
      <c r="B535" s="13"/>
      <c r="C535" s="22"/>
      <c r="D535" s="13"/>
    </row>
    <row r="536" spans="1:4">
      <c r="A536" s="13"/>
      <c r="B536" s="13"/>
      <c r="C536" s="22"/>
      <c r="D536" s="13"/>
    </row>
    <row r="537" spans="1:4">
      <c r="A537" s="13"/>
      <c r="B537" s="13"/>
      <c r="C537" s="22"/>
      <c r="D537" s="13"/>
    </row>
    <row r="538" spans="1:4">
      <c r="A538" s="13"/>
      <c r="B538" s="13"/>
      <c r="C538" s="22"/>
      <c r="D538" s="13"/>
    </row>
    <row r="539" spans="1:4">
      <c r="A539" s="13"/>
      <c r="B539" s="13"/>
      <c r="C539" s="22"/>
      <c r="D539" s="13"/>
    </row>
    <row r="540" spans="1:4">
      <c r="A540" s="13"/>
      <c r="B540" s="13"/>
      <c r="C540" s="22"/>
      <c r="D540" s="13"/>
    </row>
    <row r="541" spans="1:4">
      <c r="A541" s="13"/>
      <c r="B541" s="13"/>
      <c r="C541" s="22"/>
      <c r="D541" s="13"/>
    </row>
    <row r="542" spans="1:4">
      <c r="A542" s="13"/>
      <c r="B542" s="13"/>
      <c r="C542" s="22"/>
      <c r="D542" s="13"/>
    </row>
    <row r="543" spans="1:4">
      <c r="A543" s="13"/>
      <c r="B543" s="13"/>
      <c r="C543" s="22"/>
      <c r="D543" s="13"/>
    </row>
    <row r="544" spans="1:4">
      <c r="A544" s="13"/>
      <c r="B544" s="13"/>
      <c r="C544" s="22"/>
      <c r="D544" s="13"/>
    </row>
    <row r="545" spans="1:4">
      <c r="A545" s="13"/>
      <c r="B545" s="13"/>
      <c r="C545" s="22"/>
      <c r="D545" s="13"/>
    </row>
    <row r="546" spans="1:4">
      <c r="A546" s="13"/>
      <c r="B546" s="13"/>
      <c r="C546" s="22"/>
      <c r="D546" s="13"/>
    </row>
    <row r="547" spans="1:4">
      <c r="A547" s="13"/>
      <c r="B547" s="13"/>
      <c r="C547" s="22"/>
      <c r="D547" s="13"/>
    </row>
    <row r="548" spans="1:4">
      <c r="A548" s="13"/>
      <c r="B548" s="13"/>
      <c r="C548" s="22"/>
      <c r="D548" s="13"/>
    </row>
    <row r="549" spans="1:4">
      <c r="A549" s="13"/>
      <c r="B549" s="13"/>
      <c r="C549" s="22"/>
      <c r="D549" s="13"/>
    </row>
    <row r="550" spans="1:4">
      <c r="A550" s="13"/>
      <c r="B550" s="13"/>
      <c r="C550" s="22"/>
      <c r="D550" s="13"/>
    </row>
    <row r="551" spans="1:4">
      <c r="A551" s="13"/>
      <c r="B551" s="13"/>
      <c r="C551" s="22"/>
      <c r="D551" s="13"/>
    </row>
    <row r="552" spans="1:4">
      <c r="A552" s="13"/>
      <c r="B552" s="13"/>
      <c r="C552" s="22"/>
      <c r="D552" s="13"/>
    </row>
    <row r="553" spans="1:4">
      <c r="A553" s="13"/>
      <c r="B553" s="13"/>
      <c r="C553" s="22"/>
      <c r="D553" s="13"/>
    </row>
    <row r="554" spans="1:4">
      <c r="A554" s="13"/>
      <c r="B554" s="13"/>
      <c r="C554" s="22"/>
      <c r="D554" s="13"/>
    </row>
    <row r="555" spans="1:4">
      <c r="A555" s="13"/>
      <c r="B555" s="13"/>
      <c r="C555" s="22"/>
      <c r="D555" s="13"/>
    </row>
    <row r="556" spans="1:4">
      <c r="A556" s="13"/>
      <c r="B556" s="13"/>
      <c r="C556" s="22"/>
      <c r="D556" s="13"/>
    </row>
    <row r="557" spans="1:4">
      <c r="A557" s="13"/>
      <c r="B557" s="13"/>
      <c r="C557" s="22"/>
      <c r="D557" s="13"/>
    </row>
    <row r="558" spans="1:4">
      <c r="A558" s="13"/>
      <c r="B558" s="13"/>
      <c r="C558" s="22"/>
      <c r="D558" s="13"/>
    </row>
    <row r="559" spans="1:4">
      <c r="A559" s="13"/>
      <c r="B559" s="13"/>
      <c r="C559" s="22"/>
      <c r="D559" s="13"/>
    </row>
    <row r="560" spans="1:4">
      <c r="A560" s="13"/>
      <c r="B560" s="13"/>
      <c r="C560" s="22"/>
      <c r="D560" s="13"/>
    </row>
    <row r="561" spans="1:4">
      <c r="A561" s="13"/>
      <c r="B561" s="13"/>
      <c r="C561" s="22"/>
      <c r="D561" s="13"/>
    </row>
    <row r="562" spans="1:4">
      <c r="A562" s="13"/>
      <c r="B562" s="13"/>
      <c r="C562" s="22"/>
      <c r="D562" s="13"/>
    </row>
    <row r="563" spans="1:4">
      <c r="A563" s="13"/>
      <c r="B563" s="13"/>
      <c r="C563" s="22"/>
      <c r="D563" s="13"/>
    </row>
    <row r="564" spans="1:4">
      <c r="A564" s="13"/>
      <c r="B564" s="13"/>
      <c r="C564" s="22"/>
      <c r="D564" s="13"/>
    </row>
    <row r="565" spans="1:4">
      <c r="A565" s="13"/>
      <c r="B565" s="13"/>
      <c r="C565" s="22"/>
      <c r="D565" s="13"/>
    </row>
    <row r="566" spans="1:4">
      <c r="A566" s="13"/>
      <c r="B566" s="13"/>
      <c r="C566" s="22"/>
      <c r="D566" s="13"/>
    </row>
    <row r="567" spans="1:4">
      <c r="A567" s="13"/>
      <c r="B567" s="13"/>
      <c r="C567" s="22"/>
      <c r="D567" s="13"/>
    </row>
    <row r="568" spans="1:4">
      <c r="A568" s="13"/>
      <c r="B568" s="13"/>
      <c r="C568" s="22"/>
      <c r="D568" s="13"/>
    </row>
    <row r="569" spans="1:4">
      <c r="A569" s="13"/>
      <c r="B569" s="13"/>
      <c r="C569" s="22"/>
      <c r="D569" s="13"/>
    </row>
    <row r="570" spans="1:4">
      <c r="A570" s="13"/>
      <c r="B570" s="13"/>
      <c r="C570" s="22"/>
      <c r="D570" s="13"/>
    </row>
    <row r="571" spans="1:4">
      <c r="A571" s="13"/>
      <c r="B571" s="13"/>
      <c r="C571" s="22"/>
      <c r="D571" s="13"/>
    </row>
    <row r="572" spans="1:4">
      <c r="A572" s="13"/>
      <c r="B572" s="13"/>
      <c r="C572" s="22"/>
      <c r="D572" s="13"/>
    </row>
    <row r="573" spans="1:4">
      <c r="A573" s="13"/>
      <c r="B573" s="13"/>
      <c r="C573" s="22"/>
      <c r="D573" s="13"/>
    </row>
    <row r="574" spans="1:4">
      <c r="A574" s="13"/>
      <c r="B574" s="13"/>
      <c r="C574" s="22"/>
      <c r="D574" s="13"/>
    </row>
    <row r="575" spans="1:4">
      <c r="A575" s="13"/>
      <c r="B575" s="13"/>
      <c r="C575" s="22"/>
      <c r="D575" s="13"/>
    </row>
    <row r="576" spans="1:4">
      <c r="A576" s="13"/>
      <c r="B576" s="13"/>
      <c r="C576" s="22"/>
      <c r="D576" s="13"/>
    </row>
    <row r="577" spans="1:4">
      <c r="A577" s="13"/>
      <c r="B577" s="13"/>
      <c r="C577" s="22"/>
      <c r="D577" s="13"/>
    </row>
    <row r="578" spans="1:4">
      <c r="A578" s="13"/>
      <c r="B578" s="13"/>
      <c r="C578" s="22"/>
      <c r="D578" s="13"/>
    </row>
    <row r="579" spans="1:4">
      <c r="A579" s="13"/>
      <c r="B579" s="13"/>
      <c r="C579" s="22"/>
      <c r="D579" s="13"/>
    </row>
    <row r="580" spans="1:4">
      <c r="A580" s="13"/>
      <c r="B580" s="13"/>
      <c r="C580" s="22"/>
      <c r="D580" s="13"/>
    </row>
    <row r="581" spans="1:4">
      <c r="A581" s="13"/>
      <c r="B581" s="13"/>
      <c r="C581" s="22"/>
      <c r="D581" s="13"/>
    </row>
    <row r="582" spans="1:4">
      <c r="A582" s="13"/>
      <c r="B582" s="13"/>
      <c r="C582" s="22"/>
      <c r="D582" s="13"/>
    </row>
    <row r="583" spans="1:4">
      <c r="A583" s="13"/>
      <c r="B583" s="13"/>
      <c r="C583" s="22"/>
      <c r="D583" s="13"/>
    </row>
    <row r="584" spans="1:4">
      <c r="A584" s="13"/>
      <c r="B584" s="13"/>
      <c r="C584" s="22"/>
      <c r="D584" s="13"/>
    </row>
    <row r="585" spans="1:4">
      <c r="A585" s="13"/>
      <c r="B585" s="13"/>
      <c r="C585" s="22"/>
      <c r="D585" s="13"/>
    </row>
    <row r="586" spans="1:4">
      <c r="A586" s="13"/>
      <c r="B586" s="13"/>
      <c r="C586" s="22"/>
      <c r="D586" s="13"/>
    </row>
    <row r="587" spans="1:4">
      <c r="A587" s="13"/>
      <c r="B587" s="13"/>
      <c r="C587" s="22"/>
      <c r="D587" s="13"/>
    </row>
    <row r="588" spans="1:4">
      <c r="A588" s="13"/>
      <c r="B588" s="13"/>
      <c r="C588" s="22"/>
      <c r="D588" s="13"/>
    </row>
    <row r="589" spans="1:4">
      <c r="A589" s="13"/>
      <c r="B589" s="13"/>
      <c r="C589" s="22"/>
      <c r="D589" s="13"/>
    </row>
    <row r="590" spans="1:4">
      <c r="A590" s="13"/>
      <c r="B590" s="13"/>
      <c r="C590" s="22"/>
      <c r="D590" s="13"/>
    </row>
    <row r="591" spans="1:4">
      <c r="A591" s="13"/>
      <c r="B591" s="13"/>
      <c r="C591" s="22"/>
      <c r="D591" s="13"/>
    </row>
    <row r="592" spans="1:4">
      <c r="A592" s="13"/>
      <c r="B592" s="13"/>
      <c r="C592" s="22"/>
      <c r="D592" s="13"/>
    </row>
    <row r="593" spans="1:4">
      <c r="A593" s="13"/>
      <c r="B593" s="13"/>
      <c r="C593" s="22"/>
      <c r="D593" s="13"/>
    </row>
    <row r="594" spans="1:4">
      <c r="A594" s="13"/>
      <c r="B594" s="13"/>
      <c r="C594" s="22"/>
      <c r="D594" s="13"/>
    </row>
    <row r="595" spans="1:4">
      <c r="A595" s="13"/>
      <c r="B595" s="13"/>
      <c r="C595" s="22"/>
      <c r="D595" s="13"/>
    </row>
    <row r="596" spans="1:4">
      <c r="A596" s="13"/>
      <c r="B596" s="13"/>
      <c r="C596" s="22"/>
      <c r="D596" s="13"/>
    </row>
    <row r="597" spans="1:4">
      <c r="A597" s="13"/>
      <c r="B597" s="13"/>
      <c r="C597" s="22"/>
      <c r="D597" s="13"/>
    </row>
    <row r="598" spans="1:4">
      <c r="A598" s="13"/>
      <c r="B598" s="13"/>
      <c r="C598" s="22"/>
      <c r="D598" s="13"/>
    </row>
    <row r="599" spans="1:4">
      <c r="A599" s="13"/>
      <c r="B599" s="13"/>
      <c r="C599" s="22"/>
      <c r="D599" s="13"/>
    </row>
    <row r="600" spans="1:4">
      <c r="A600" s="13"/>
      <c r="B600" s="13"/>
      <c r="C600" s="22"/>
      <c r="D600" s="13"/>
    </row>
    <row r="601" spans="1:4">
      <c r="A601" s="13"/>
      <c r="B601" s="13"/>
      <c r="C601" s="22"/>
      <c r="D601" s="13"/>
    </row>
    <row r="602" spans="1:4">
      <c r="A602" s="13"/>
      <c r="B602" s="13"/>
      <c r="C602" s="22"/>
      <c r="D602" s="13"/>
    </row>
    <row r="603" spans="1:4">
      <c r="A603" s="13"/>
      <c r="B603" s="13"/>
      <c r="C603" s="22"/>
      <c r="D603" s="13"/>
    </row>
    <row r="604" spans="1:4">
      <c r="A604" s="13"/>
      <c r="B604" s="13"/>
      <c r="C604" s="22"/>
      <c r="D604" s="13"/>
    </row>
    <row r="605" spans="1:4">
      <c r="A605" s="13"/>
      <c r="B605" s="13"/>
      <c r="C605" s="22"/>
      <c r="D605" s="13"/>
    </row>
    <row r="606" spans="1:4">
      <c r="A606" s="13"/>
      <c r="B606" s="13"/>
      <c r="C606" s="22"/>
      <c r="D606" s="13"/>
    </row>
    <row r="607" spans="1:4">
      <c r="A607" s="13"/>
      <c r="B607" s="13"/>
      <c r="C607" s="22"/>
      <c r="D607" s="13"/>
    </row>
    <row r="608" spans="1:4">
      <c r="A608" s="13"/>
      <c r="B608" s="13"/>
      <c r="C608" s="22"/>
      <c r="D608" s="13"/>
    </row>
    <row r="609" spans="1:4">
      <c r="A609" s="13"/>
      <c r="B609" s="13"/>
      <c r="C609" s="22"/>
      <c r="D609" s="13"/>
    </row>
    <row r="610" spans="1:4">
      <c r="A610" s="13"/>
      <c r="B610" s="13"/>
      <c r="C610" s="22"/>
      <c r="D610" s="13"/>
    </row>
    <row r="611" spans="1:4">
      <c r="A611" s="13"/>
      <c r="B611" s="13"/>
      <c r="C611" s="22"/>
      <c r="D611" s="13"/>
    </row>
    <row r="612" spans="1:4">
      <c r="A612" s="13"/>
      <c r="B612" s="13"/>
      <c r="C612" s="22"/>
      <c r="D612" s="13"/>
    </row>
    <row r="613" spans="1:4">
      <c r="A613" s="13"/>
      <c r="B613" s="13"/>
      <c r="C613" s="22"/>
      <c r="D613" s="13"/>
    </row>
    <row r="614" spans="1:4">
      <c r="A614" s="13"/>
      <c r="B614" s="13"/>
      <c r="C614" s="22"/>
      <c r="D614" s="13"/>
    </row>
    <row r="615" spans="1:4">
      <c r="A615" s="13"/>
      <c r="B615" s="13"/>
      <c r="C615" s="22"/>
      <c r="D615" s="13"/>
    </row>
    <row r="616" spans="1:4">
      <c r="A616" s="13"/>
      <c r="B616" s="13"/>
      <c r="C616" s="22"/>
      <c r="D616" s="13"/>
    </row>
    <row r="617" spans="1:4">
      <c r="A617" s="13"/>
      <c r="B617" s="13"/>
      <c r="C617" s="22"/>
      <c r="D617" s="13"/>
    </row>
    <row r="618" spans="1:4">
      <c r="A618" s="13"/>
      <c r="B618" s="13"/>
      <c r="C618" s="22"/>
      <c r="D618" s="13"/>
    </row>
    <row r="619" spans="1:4">
      <c r="A619" s="13"/>
      <c r="B619" s="13"/>
      <c r="C619" s="22"/>
      <c r="D619" s="13"/>
    </row>
    <row r="620" spans="1:4">
      <c r="A620" s="13"/>
      <c r="B620" s="13"/>
      <c r="C620" s="22"/>
      <c r="D620" s="13"/>
    </row>
    <row r="621" spans="1:4">
      <c r="A621" s="13"/>
      <c r="B621" s="13"/>
      <c r="C621" s="22"/>
      <c r="D621" s="13"/>
    </row>
    <row r="622" spans="1:4">
      <c r="A622" s="13"/>
      <c r="B622" s="13"/>
      <c r="C622" s="22"/>
      <c r="D622" s="13"/>
    </row>
    <row r="623" spans="1:4">
      <c r="A623" s="13"/>
      <c r="B623" s="13"/>
      <c r="C623" s="22"/>
      <c r="D623" s="13"/>
    </row>
    <row r="624" spans="1:4">
      <c r="A624" s="13"/>
      <c r="B624" s="13"/>
      <c r="C624" s="22"/>
      <c r="D624" s="13"/>
    </row>
    <row r="625" spans="1:4">
      <c r="A625" s="13"/>
      <c r="B625" s="13"/>
      <c r="C625" s="22"/>
      <c r="D625" s="13"/>
    </row>
    <row r="626" spans="1:4">
      <c r="A626" s="13"/>
      <c r="B626" s="13"/>
      <c r="C626" s="22"/>
      <c r="D626" s="13"/>
    </row>
    <row r="627" spans="1:4">
      <c r="A627" s="13"/>
      <c r="B627" s="13"/>
      <c r="C627" s="22"/>
      <c r="D627" s="13"/>
    </row>
    <row r="628" spans="1:4">
      <c r="A628" s="13"/>
      <c r="B628" s="13"/>
      <c r="C628" s="22"/>
      <c r="D628" s="13"/>
    </row>
    <row r="629" spans="1:4">
      <c r="A629" s="13"/>
      <c r="B629" s="13"/>
      <c r="C629" s="22"/>
      <c r="D629" s="13"/>
    </row>
    <row r="630" spans="1:4">
      <c r="A630" s="13"/>
      <c r="B630" s="13"/>
      <c r="C630" s="22"/>
      <c r="D630" s="13"/>
    </row>
    <row r="631" spans="1:4">
      <c r="A631" s="13"/>
      <c r="B631" s="13"/>
      <c r="C631" s="22"/>
      <c r="D631" s="13"/>
    </row>
    <row r="632" spans="1:4">
      <c r="A632" s="13"/>
      <c r="B632" s="13"/>
      <c r="C632" s="22"/>
      <c r="D632" s="13"/>
    </row>
    <row r="633" spans="1:4">
      <c r="A633" s="13"/>
      <c r="B633" s="13"/>
      <c r="C633" s="22"/>
      <c r="D633" s="13"/>
    </row>
    <row r="634" spans="1:4">
      <c r="A634" s="13"/>
      <c r="B634" s="13"/>
      <c r="C634" s="22"/>
      <c r="D634" s="13"/>
    </row>
    <row r="635" spans="1:4">
      <c r="A635" s="13"/>
      <c r="B635" s="13"/>
      <c r="C635" s="22"/>
      <c r="D635" s="13"/>
    </row>
    <row r="636" spans="1:4">
      <c r="A636" s="13"/>
      <c r="B636" s="13"/>
      <c r="C636" s="22"/>
      <c r="D636" s="13"/>
    </row>
    <row r="637" spans="1:4">
      <c r="A637" s="13"/>
      <c r="B637" s="13"/>
      <c r="C637" s="22"/>
      <c r="D637" s="13"/>
    </row>
    <row r="638" spans="1:4">
      <c r="A638" s="13"/>
      <c r="B638" s="13"/>
      <c r="C638" s="22"/>
      <c r="D638" s="13"/>
    </row>
    <row r="639" spans="1:4">
      <c r="A639" s="13"/>
      <c r="B639" s="13"/>
      <c r="C639" s="22"/>
      <c r="D639" s="13"/>
    </row>
    <row r="640" spans="1:4">
      <c r="A640" s="13"/>
      <c r="B640" s="13"/>
      <c r="C640" s="22"/>
      <c r="D640" s="13"/>
    </row>
    <row r="641" spans="1:4">
      <c r="A641" s="13"/>
      <c r="B641" s="13"/>
      <c r="C641" s="22"/>
      <c r="D641" s="13"/>
    </row>
    <row r="642" spans="1:4">
      <c r="A642" s="13"/>
      <c r="B642" s="13"/>
      <c r="C642" s="22"/>
      <c r="D642" s="13"/>
    </row>
    <row r="643" spans="1:4">
      <c r="A643" s="13"/>
      <c r="B643" s="13"/>
      <c r="C643" s="22"/>
      <c r="D643" s="13"/>
    </row>
    <row r="644" spans="1:4">
      <c r="A644" s="13"/>
      <c r="B644" s="13"/>
      <c r="C644" s="22"/>
      <c r="D644" s="13"/>
    </row>
    <row r="645" spans="1:4">
      <c r="A645" s="13"/>
      <c r="B645" s="13"/>
      <c r="C645" s="22"/>
      <c r="D645" s="13"/>
    </row>
    <row r="646" spans="1:4">
      <c r="A646" s="13"/>
      <c r="B646" s="13"/>
      <c r="C646" s="22"/>
      <c r="D646" s="13"/>
    </row>
    <row r="647" spans="1:4">
      <c r="A647" s="13"/>
      <c r="B647" s="13"/>
      <c r="C647" s="22"/>
      <c r="D647" s="13"/>
    </row>
    <row r="648" spans="1:4">
      <c r="A648" s="13"/>
      <c r="B648" s="13"/>
      <c r="C648" s="22"/>
      <c r="D648" s="13"/>
    </row>
    <row r="649" spans="1:4">
      <c r="A649" s="13"/>
      <c r="B649" s="13"/>
      <c r="C649" s="22"/>
      <c r="D649" s="13"/>
    </row>
    <row r="650" spans="1:4">
      <c r="A650" s="13"/>
      <c r="B650" s="13"/>
      <c r="C650" s="22"/>
      <c r="D650" s="13"/>
    </row>
    <row r="651" spans="1:4">
      <c r="A651" s="13"/>
      <c r="B651" s="13"/>
      <c r="C651" s="22"/>
      <c r="D651" s="13"/>
    </row>
    <row r="652" spans="1:4">
      <c r="A652" s="13"/>
      <c r="B652" s="13"/>
      <c r="C652" s="22"/>
      <c r="D652" s="13"/>
    </row>
    <row r="653" spans="1:4">
      <c r="A653" s="13"/>
      <c r="B653" s="13"/>
      <c r="C653" s="22"/>
      <c r="D653" s="13"/>
    </row>
    <row r="654" spans="1:4">
      <c r="A654" s="13"/>
      <c r="B654" s="13"/>
      <c r="C654" s="22"/>
      <c r="D654" s="13"/>
    </row>
    <row r="655" spans="1:4">
      <c r="A655" s="13"/>
      <c r="B655" s="13"/>
      <c r="C655" s="22"/>
      <c r="D655" s="13"/>
    </row>
    <row r="656" spans="1:4">
      <c r="A656" s="13"/>
      <c r="B656" s="13"/>
      <c r="C656" s="22"/>
      <c r="D656" s="13"/>
    </row>
    <row r="657" spans="1:4">
      <c r="A657" s="13"/>
      <c r="B657" s="13"/>
      <c r="C657" s="22"/>
      <c r="D657" s="13"/>
    </row>
    <row r="658" spans="1:4">
      <c r="A658" s="13"/>
      <c r="B658" s="13"/>
      <c r="C658" s="22"/>
      <c r="D658" s="13"/>
    </row>
    <row r="659" spans="1:4">
      <c r="A659" s="13"/>
      <c r="B659" s="13"/>
      <c r="C659" s="22"/>
      <c r="D659" s="13"/>
    </row>
    <row r="660" spans="1:4">
      <c r="A660" s="13"/>
      <c r="B660" s="13"/>
      <c r="C660" s="22"/>
      <c r="D660" s="13"/>
    </row>
    <row r="661" spans="1:4">
      <c r="A661" s="13"/>
      <c r="B661" s="13"/>
      <c r="C661" s="22"/>
      <c r="D661" s="13"/>
    </row>
    <row r="662" spans="1:4">
      <c r="A662" s="13"/>
      <c r="B662" s="13"/>
      <c r="C662" s="22"/>
      <c r="D662" s="13"/>
    </row>
    <row r="663" spans="1:4">
      <c r="A663" s="13"/>
      <c r="B663" s="13"/>
      <c r="C663" s="22"/>
      <c r="D663" s="13"/>
    </row>
    <row r="664" spans="1:4">
      <c r="A664" s="13"/>
      <c r="B664" s="13"/>
      <c r="C664" s="22"/>
      <c r="D664" s="13"/>
    </row>
    <row r="665" spans="1:4">
      <c r="A665" s="13"/>
      <c r="B665" s="13"/>
      <c r="C665" s="22"/>
      <c r="D665" s="13"/>
    </row>
    <row r="666" spans="1:4">
      <c r="A666" s="13"/>
      <c r="B666" s="13"/>
      <c r="C666" s="22"/>
      <c r="D666" s="13"/>
    </row>
    <row r="667" spans="1:4">
      <c r="A667" s="13"/>
      <c r="B667" s="13"/>
      <c r="C667" s="22"/>
      <c r="D667" s="13"/>
    </row>
    <row r="668" spans="1:4">
      <c r="A668" s="13"/>
      <c r="B668" s="13"/>
      <c r="C668" s="22"/>
      <c r="D668" s="13"/>
    </row>
    <row r="669" spans="1:4">
      <c r="A669" s="13"/>
      <c r="B669" s="13"/>
      <c r="C669" s="22"/>
      <c r="D669" s="13"/>
    </row>
    <row r="670" spans="1:4">
      <c r="A670" s="13"/>
      <c r="B670" s="13"/>
      <c r="C670" s="22"/>
      <c r="D670" s="13"/>
    </row>
    <row r="671" spans="1:4">
      <c r="A671" s="13"/>
      <c r="B671" s="13"/>
      <c r="C671" s="22"/>
      <c r="D671" s="13"/>
    </row>
    <row r="672" spans="1:4">
      <c r="A672" s="13"/>
      <c r="B672" s="13"/>
      <c r="C672" s="22"/>
      <c r="D672" s="13"/>
    </row>
    <row r="673" spans="1:4">
      <c r="A673" s="13"/>
      <c r="B673" s="13"/>
      <c r="C673" s="22"/>
      <c r="D673" s="13"/>
    </row>
    <row r="674" spans="1:4">
      <c r="A674" s="13"/>
      <c r="B674" s="13"/>
      <c r="C674" s="22"/>
      <c r="D674" s="13"/>
    </row>
    <row r="675" spans="1:4">
      <c r="A675" s="13"/>
      <c r="B675" s="13"/>
      <c r="C675" s="22"/>
      <c r="D675" s="13"/>
    </row>
    <row r="676" spans="1:4">
      <c r="A676" s="13"/>
      <c r="B676" s="13"/>
      <c r="C676" s="22"/>
      <c r="D676" s="13"/>
    </row>
    <row r="677" spans="1:4">
      <c r="A677" s="13"/>
      <c r="B677" s="13"/>
      <c r="C677" s="22"/>
      <c r="D677" s="13"/>
    </row>
    <row r="678" spans="1:4">
      <c r="A678" s="13"/>
      <c r="B678" s="13"/>
      <c r="C678" s="22"/>
      <c r="D678" s="13"/>
    </row>
    <row r="679" spans="1:4">
      <c r="A679" s="13"/>
      <c r="B679" s="13"/>
      <c r="C679" s="22"/>
      <c r="D679" s="13"/>
    </row>
    <row r="680" spans="1:4">
      <c r="A680" s="13"/>
      <c r="B680" s="13"/>
      <c r="C680" s="22"/>
      <c r="D680" s="13"/>
    </row>
    <row r="681" spans="1:4">
      <c r="A681" s="13"/>
      <c r="B681" s="13"/>
      <c r="C681" s="22"/>
      <c r="D681" s="13"/>
    </row>
    <row r="682" spans="1:4">
      <c r="A682" s="13"/>
      <c r="B682" s="13"/>
      <c r="C682" s="22"/>
      <c r="D682" s="13"/>
    </row>
    <row r="683" spans="1:4">
      <c r="A683" s="13"/>
      <c r="B683" s="13"/>
      <c r="C683" s="22"/>
      <c r="D683" s="13"/>
    </row>
    <row r="684" spans="1:4">
      <c r="A684" s="13"/>
      <c r="B684" s="13"/>
      <c r="C684" s="22"/>
      <c r="D684" s="13"/>
    </row>
    <row r="685" spans="1:4">
      <c r="A685" s="13"/>
      <c r="B685" s="13"/>
      <c r="C685" s="22"/>
      <c r="D685" s="13"/>
    </row>
    <row r="686" spans="1:4">
      <c r="A686" s="13"/>
      <c r="B686" s="13"/>
      <c r="C686" s="22"/>
      <c r="D686" s="13"/>
    </row>
    <row r="687" spans="1:4">
      <c r="A687" s="13"/>
      <c r="B687" s="13"/>
      <c r="C687" s="22"/>
      <c r="D687" s="13"/>
    </row>
    <row r="688" spans="1:4">
      <c r="A688" s="13"/>
      <c r="B688" s="13"/>
      <c r="C688" s="22"/>
      <c r="D688" s="13"/>
    </row>
    <row r="689" spans="1:4">
      <c r="A689" s="13"/>
      <c r="B689" s="13"/>
      <c r="C689" s="22"/>
      <c r="D689" s="13"/>
    </row>
    <row r="690" spans="1:4">
      <c r="A690" s="13"/>
      <c r="B690" s="13"/>
      <c r="C690" s="22"/>
      <c r="D690" s="13"/>
    </row>
    <row r="691" spans="1:4">
      <c r="A691" s="13"/>
      <c r="B691" s="13"/>
      <c r="C691" s="22"/>
      <c r="D691" s="13"/>
    </row>
    <row r="692" spans="1:4">
      <c r="A692" s="13"/>
      <c r="B692" s="13"/>
      <c r="C692" s="22"/>
      <c r="D692" s="13"/>
    </row>
    <row r="693" spans="1:4">
      <c r="A693" s="13"/>
      <c r="B693" s="13"/>
      <c r="C693" s="22"/>
      <c r="D693" s="13"/>
    </row>
    <row r="694" spans="1:4">
      <c r="A694" s="13"/>
      <c r="B694" s="13"/>
      <c r="C694" s="22"/>
      <c r="D694" s="13"/>
    </row>
    <row r="695" spans="1:4">
      <c r="A695" s="13"/>
      <c r="B695" s="13"/>
      <c r="C695" s="22"/>
      <c r="D695" s="13"/>
    </row>
    <row r="696" spans="1:4">
      <c r="A696" s="13"/>
      <c r="B696" s="13"/>
      <c r="C696" s="22"/>
      <c r="D696" s="13"/>
    </row>
    <row r="697" spans="1:4">
      <c r="A697" s="13"/>
      <c r="B697" s="13"/>
      <c r="C697" s="22"/>
      <c r="D697" s="13"/>
    </row>
    <row r="698" spans="1:4">
      <c r="A698" s="13"/>
      <c r="B698" s="13"/>
      <c r="C698" s="22"/>
      <c r="D698" s="13"/>
    </row>
    <row r="699" spans="1:4">
      <c r="A699" s="13"/>
      <c r="B699" s="13"/>
      <c r="C699" s="22"/>
      <c r="D699" s="13"/>
    </row>
    <row r="700" spans="1:4">
      <c r="A700" s="13"/>
      <c r="B700" s="13"/>
      <c r="C700" s="22"/>
      <c r="D700" s="13"/>
    </row>
    <row r="701" spans="1:4">
      <c r="A701" s="13"/>
      <c r="B701" s="13"/>
      <c r="C701" s="22"/>
      <c r="D701" s="13"/>
    </row>
    <row r="702" spans="1:4">
      <c r="A702" s="13"/>
      <c r="B702" s="13"/>
      <c r="C702" s="22"/>
      <c r="D702" s="13"/>
    </row>
    <row r="703" spans="1:4">
      <c r="A703" s="13"/>
      <c r="B703" s="13"/>
      <c r="C703" s="22"/>
      <c r="D703" s="13"/>
    </row>
    <row r="704" spans="1:4">
      <c r="A704" s="13"/>
      <c r="B704" s="13"/>
      <c r="C704" s="22"/>
      <c r="D704" s="13"/>
    </row>
    <row r="705" spans="1:4">
      <c r="A705" s="13"/>
      <c r="B705" s="13"/>
      <c r="C705" s="22"/>
      <c r="D705" s="13"/>
    </row>
    <row r="706" spans="1:4">
      <c r="A706" s="13"/>
      <c r="B706" s="13"/>
      <c r="C706" s="22"/>
      <c r="D706" s="13"/>
    </row>
    <row r="707" spans="1:4">
      <c r="A707" s="13"/>
      <c r="B707" s="13"/>
      <c r="C707" s="22"/>
      <c r="D707" s="13"/>
    </row>
    <row r="708" spans="1:4">
      <c r="A708" s="13"/>
      <c r="B708" s="13"/>
      <c r="C708" s="22"/>
      <c r="D708" s="13"/>
    </row>
    <row r="709" spans="1:4">
      <c r="A709" s="13"/>
      <c r="B709" s="13"/>
      <c r="C709" s="22"/>
      <c r="D709" s="13"/>
    </row>
    <row r="710" spans="1:4">
      <c r="A710" s="13"/>
      <c r="B710" s="13"/>
      <c r="C710" s="22"/>
      <c r="D710" s="13"/>
    </row>
    <row r="711" spans="1:4">
      <c r="A711" s="13"/>
      <c r="B711" s="13"/>
      <c r="C711" s="22"/>
      <c r="D711" s="13"/>
    </row>
    <row r="712" spans="1:4">
      <c r="A712" s="13"/>
      <c r="B712" s="13"/>
      <c r="C712" s="22"/>
      <c r="D712" s="13"/>
    </row>
    <row r="713" spans="1:4">
      <c r="A713" s="13"/>
      <c r="B713" s="13"/>
      <c r="C713" s="22"/>
      <c r="D713" s="13"/>
    </row>
    <row r="714" spans="1:4">
      <c r="A714" s="13"/>
      <c r="B714" s="13"/>
      <c r="C714" s="22"/>
      <c r="D714" s="13"/>
    </row>
    <row r="715" spans="1:4">
      <c r="A715" s="13"/>
      <c r="B715" s="13"/>
      <c r="C715" s="22"/>
      <c r="D715" s="13"/>
    </row>
    <row r="716" spans="1:4">
      <c r="A716" s="13"/>
      <c r="B716" s="13"/>
      <c r="C716" s="22"/>
      <c r="D716" s="13"/>
    </row>
    <row r="717" spans="1:4">
      <c r="A717" s="13"/>
      <c r="B717" s="13"/>
      <c r="C717" s="22"/>
      <c r="D717" s="13"/>
    </row>
    <row r="718" spans="1:4">
      <c r="A718" s="13"/>
      <c r="B718" s="13"/>
      <c r="C718" s="22"/>
      <c r="D718" s="13"/>
    </row>
    <row r="719" spans="1:4">
      <c r="A719" s="13"/>
      <c r="B719" s="13"/>
      <c r="C719" s="22"/>
      <c r="D719" s="13"/>
    </row>
    <row r="720" spans="1:4">
      <c r="A720" s="13"/>
      <c r="B720" s="13"/>
      <c r="C720" s="22"/>
      <c r="D720" s="13"/>
    </row>
    <row r="721" spans="1:4">
      <c r="A721" s="13"/>
      <c r="B721" s="13"/>
      <c r="C721" s="22"/>
      <c r="D721" s="13"/>
    </row>
    <row r="722" spans="1:4">
      <c r="A722" s="13"/>
      <c r="B722" s="13"/>
      <c r="C722" s="22"/>
      <c r="D722" s="13"/>
    </row>
    <row r="723" spans="1:4">
      <c r="A723" s="13"/>
      <c r="B723" s="13"/>
      <c r="C723" s="22"/>
      <c r="D723" s="13"/>
    </row>
    <row r="724" spans="1:4">
      <c r="A724" s="13"/>
      <c r="B724" s="13"/>
      <c r="C724" s="22"/>
      <c r="D724" s="13"/>
    </row>
    <row r="725" spans="1:4">
      <c r="A725" s="13"/>
      <c r="B725" s="13"/>
      <c r="C725" s="22"/>
      <c r="D725" s="13"/>
    </row>
    <row r="726" spans="1:4">
      <c r="A726" s="13"/>
      <c r="B726" s="13"/>
      <c r="C726" s="22"/>
      <c r="D726" s="13"/>
    </row>
    <row r="727" spans="1:4">
      <c r="A727" s="13"/>
      <c r="B727" s="13"/>
      <c r="C727" s="22"/>
      <c r="D727" s="13"/>
    </row>
    <row r="728" spans="1:4">
      <c r="A728" s="13"/>
      <c r="B728" s="13"/>
      <c r="C728" s="22"/>
      <c r="D728" s="13"/>
    </row>
    <row r="729" spans="1:4">
      <c r="A729" s="13"/>
      <c r="B729" s="13"/>
      <c r="C729" s="22"/>
      <c r="D729" s="13"/>
    </row>
    <row r="730" spans="1:4">
      <c r="A730" s="13"/>
      <c r="B730" s="13"/>
      <c r="C730" s="22"/>
      <c r="D730" s="13"/>
    </row>
    <row r="731" spans="1:4">
      <c r="A731" s="13"/>
      <c r="B731" s="13"/>
      <c r="C731" s="22"/>
      <c r="D731" s="13"/>
    </row>
    <row r="732" spans="1:4">
      <c r="A732" s="13"/>
      <c r="B732" s="13"/>
      <c r="C732" s="22"/>
      <c r="D732" s="13"/>
    </row>
    <row r="733" spans="1:4">
      <c r="A733" s="13"/>
      <c r="B733" s="13"/>
      <c r="C733" s="22"/>
      <c r="D733" s="13"/>
    </row>
    <row r="734" spans="1:4">
      <c r="A734" s="13"/>
      <c r="B734" s="13"/>
      <c r="C734" s="22"/>
      <c r="D734" s="13"/>
    </row>
    <row r="735" spans="1:4">
      <c r="A735" s="13"/>
      <c r="B735" s="13"/>
      <c r="C735" s="22"/>
      <c r="D735" s="13"/>
    </row>
    <row r="736" spans="1:4">
      <c r="A736" s="13"/>
      <c r="B736" s="13"/>
      <c r="C736" s="22"/>
      <c r="D736" s="13"/>
    </row>
    <row r="737" spans="1:4">
      <c r="A737" s="13"/>
      <c r="B737" s="13"/>
      <c r="C737" s="22"/>
      <c r="D737" s="13"/>
    </row>
    <row r="738" spans="1:4">
      <c r="A738" s="13"/>
      <c r="B738" s="13"/>
      <c r="C738" s="22"/>
      <c r="D738" s="13"/>
    </row>
    <row r="739" spans="1:4">
      <c r="A739" s="13"/>
      <c r="B739" s="13"/>
      <c r="C739" s="22"/>
      <c r="D739" s="13"/>
    </row>
    <row r="740" spans="1:4">
      <c r="A740" s="13"/>
      <c r="B740" s="13"/>
      <c r="C740" s="22"/>
      <c r="D740" s="13"/>
    </row>
    <row r="741" spans="1:4">
      <c r="A741" s="13"/>
      <c r="B741" s="13"/>
      <c r="C741" s="22"/>
      <c r="D741" s="13"/>
    </row>
    <row r="742" spans="1:4">
      <c r="A742" s="13"/>
      <c r="B742" s="13"/>
      <c r="C742" s="22"/>
      <c r="D742" s="13"/>
    </row>
    <row r="743" spans="1:4">
      <c r="A743" s="13"/>
      <c r="B743" s="13"/>
      <c r="C743" s="22"/>
      <c r="D743" s="13"/>
    </row>
    <row r="744" spans="1:4">
      <c r="A744" s="13"/>
      <c r="B744" s="13"/>
      <c r="C744" s="22"/>
      <c r="D744" s="13"/>
    </row>
    <row r="745" spans="1:4">
      <c r="A745" s="13"/>
      <c r="B745" s="13"/>
      <c r="C745" s="22"/>
      <c r="D745" s="13"/>
    </row>
    <row r="746" spans="1:4">
      <c r="A746" s="13"/>
      <c r="B746" s="13"/>
      <c r="C746" s="22"/>
      <c r="D746" s="13"/>
    </row>
    <row r="747" spans="1:4">
      <c r="A747" s="13"/>
      <c r="B747" s="13"/>
      <c r="C747" s="22"/>
      <c r="D747" s="13"/>
    </row>
    <row r="748" spans="1:4">
      <c r="A748" s="13"/>
      <c r="B748" s="13"/>
      <c r="C748" s="22"/>
      <c r="D748" s="13"/>
    </row>
    <row r="749" spans="1:4">
      <c r="A749" s="13"/>
      <c r="B749" s="13"/>
      <c r="C749" s="22"/>
      <c r="D749" s="13"/>
    </row>
    <row r="750" spans="1:4">
      <c r="A750" s="13"/>
      <c r="B750" s="13"/>
      <c r="C750" s="22"/>
      <c r="D750" s="13"/>
    </row>
    <row r="751" spans="1:4">
      <c r="A751" s="13"/>
      <c r="B751" s="13"/>
      <c r="C751" s="22"/>
      <c r="D751" s="13"/>
    </row>
    <row r="752" spans="1:4">
      <c r="A752" s="13"/>
      <c r="B752" s="13"/>
      <c r="C752" s="22"/>
      <c r="D752" s="13"/>
    </row>
    <row r="753" spans="1:4">
      <c r="A753" s="13"/>
      <c r="B753" s="13"/>
      <c r="C753" s="22"/>
      <c r="D753" s="13"/>
    </row>
    <row r="754" spans="1:4">
      <c r="A754" s="13"/>
      <c r="B754" s="13"/>
      <c r="C754" s="22"/>
      <c r="D754" s="13"/>
    </row>
    <row r="755" spans="1:4">
      <c r="A755" s="13"/>
      <c r="B755" s="13"/>
      <c r="C755" s="22"/>
      <c r="D755" s="13"/>
    </row>
    <row r="756" spans="1:4">
      <c r="A756" s="13"/>
      <c r="B756" s="13"/>
      <c r="C756" s="22"/>
      <c r="D756" s="13"/>
    </row>
    <row r="757" spans="1:4">
      <c r="A757" s="13"/>
      <c r="B757" s="13"/>
      <c r="C757" s="22"/>
      <c r="D757" s="13"/>
    </row>
    <row r="758" spans="1:4">
      <c r="A758" s="13"/>
      <c r="B758" s="13"/>
      <c r="C758" s="22"/>
      <c r="D758" s="13"/>
    </row>
    <row r="759" spans="1:4">
      <c r="A759" s="13"/>
      <c r="B759" s="13"/>
      <c r="C759" s="22"/>
      <c r="D759" s="13"/>
    </row>
    <row r="760" spans="1:4">
      <c r="A760" s="13"/>
      <c r="B760" s="13"/>
      <c r="C760" s="22"/>
      <c r="D760" s="13"/>
    </row>
    <row r="761" spans="1:4">
      <c r="A761" s="13"/>
      <c r="B761" s="13"/>
      <c r="C761" s="22"/>
      <c r="D761" s="13"/>
    </row>
    <row r="762" spans="1:4">
      <c r="A762" s="13"/>
      <c r="B762" s="13"/>
      <c r="C762" s="22"/>
      <c r="D762" s="13"/>
    </row>
    <row r="763" spans="1:4">
      <c r="A763" s="13"/>
      <c r="B763" s="13"/>
      <c r="C763" s="22"/>
      <c r="D763" s="13"/>
    </row>
    <row r="764" spans="1:4">
      <c r="A764" s="13"/>
      <c r="B764" s="13"/>
      <c r="C764" s="22"/>
      <c r="D764" s="13"/>
    </row>
    <row r="765" spans="1:4">
      <c r="A765" s="13"/>
      <c r="B765" s="13"/>
      <c r="C765" s="22"/>
      <c r="D765" s="13"/>
    </row>
    <row r="766" spans="1:4">
      <c r="A766" s="13"/>
      <c r="B766" s="13"/>
      <c r="C766" s="22"/>
      <c r="D766" s="13"/>
    </row>
    <row r="767" spans="1:4">
      <c r="A767" s="13"/>
      <c r="B767" s="13"/>
      <c r="C767" s="22"/>
      <c r="D767" s="13"/>
    </row>
    <row r="768" spans="1:4">
      <c r="A768" s="13"/>
      <c r="B768" s="13"/>
      <c r="C768" s="22"/>
      <c r="D768" s="13"/>
    </row>
    <row r="769" spans="1:4">
      <c r="A769" s="13"/>
      <c r="B769" s="13"/>
      <c r="C769" s="22"/>
      <c r="D769" s="13"/>
    </row>
    <row r="770" spans="1:4">
      <c r="A770" s="13"/>
      <c r="B770" s="13"/>
      <c r="C770" s="22"/>
      <c r="D770" s="13"/>
    </row>
    <row r="771" spans="1:4">
      <c r="A771" s="13"/>
      <c r="B771" s="13"/>
      <c r="C771" s="22"/>
      <c r="D771" s="13"/>
    </row>
    <row r="772" spans="1:4">
      <c r="A772" s="13"/>
      <c r="B772" s="13"/>
      <c r="C772" s="22"/>
      <c r="D772" s="13"/>
    </row>
    <row r="773" spans="1:4">
      <c r="A773" s="13"/>
      <c r="B773" s="13"/>
      <c r="C773" s="22"/>
      <c r="D773" s="13"/>
    </row>
    <row r="774" spans="1:4">
      <c r="A774" s="13"/>
      <c r="B774" s="13"/>
      <c r="C774" s="22"/>
      <c r="D774" s="13"/>
    </row>
    <row r="775" spans="1:4">
      <c r="A775" s="13"/>
      <c r="B775" s="13"/>
      <c r="C775" s="22"/>
      <c r="D775" s="13"/>
    </row>
    <row r="776" spans="1:4">
      <c r="A776" s="13"/>
      <c r="B776" s="13"/>
      <c r="C776" s="22"/>
      <c r="D776" s="13"/>
    </row>
    <row r="777" spans="1:4">
      <c r="A777" s="13"/>
      <c r="B777" s="13"/>
      <c r="C777" s="22"/>
      <c r="D777" s="13"/>
    </row>
    <row r="778" spans="1:4">
      <c r="A778" s="13"/>
      <c r="B778" s="13"/>
      <c r="C778" s="22"/>
      <c r="D778" s="13"/>
    </row>
    <row r="779" spans="1:4">
      <c r="A779" s="13"/>
      <c r="B779" s="13"/>
      <c r="C779" s="22"/>
      <c r="D779" s="13"/>
    </row>
    <row r="780" spans="1:4">
      <c r="A780" s="13"/>
      <c r="B780" s="13"/>
      <c r="C780" s="22"/>
      <c r="D780" s="13"/>
    </row>
    <row r="781" spans="1:4">
      <c r="A781" s="13"/>
      <c r="B781" s="13"/>
      <c r="C781" s="22"/>
      <c r="D781" s="13"/>
    </row>
    <row r="782" spans="1:4">
      <c r="A782" s="13"/>
      <c r="B782" s="13"/>
      <c r="C782" s="22"/>
      <c r="D782" s="13"/>
    </row>
    <row r="783" spans="1:4">
      <c r="A783" s="13"/>
      <c r="B783" s="13"/>
      <c r="C783" s="22"/>
      <c r="D783" s="13"/>
    </row>
    <row r="784" spans="1:4">
      <c r="A784" s="13"/>
      <c r="B784" s="13"/>
      <c r="C784" s="22"/>
      <c r="D784" s="13"/>
    </row>
    <row r="785" spans="1:4">
      <c r="A785" s="13"/>
      <c r="B785" s="13"/>
      <c r="C785" s="22"/>
      <c r="D785" s="13"/>
    </row>
    <row r="786" spans="1:4">
      <c r="A786" s="13"/>
      <c r="B786" s="13"/>
      <c r="C786" s="22"/>
      <c r="D786" s="13"/>
    </row>
    <row r="787" spans="1:4">
      <c r="A787" s="13"/>
      <c r="B787" s="13"/>
      <c r="C787" s="22"/>
      <c r="D787" s="13"/>
    </row>
    <row r="788" spans="1:4">
      <c r="A788" s="13"/>
      <c r="B788" s="13"/>
      <c r="C788" s="22"/>
      <c r="D788" s="13"/>
    </row>
    <row r="789" spans="1:4">
      <c r="A789" s="13"/>
      <c r="B789" s="13"/>
      <c r="C789" s="22"/>
      <c r="D789" s="13"/>
    </row>
    <row r="790" spans="1:4">
      <c r="A790" s="13"/>
      <c r="B790" s="13"/>
      <c r="C790" s="22"/>
      <c r="D790" s="13"/>
    </row>
    <row r="791" spans="1:4">
      <c r="A791" s="13"/>
      <c r="B791" s="13"/>
      <c r="C791" s="22"/>
      <c r="D791" s="13"/>
    </row>
    <row r="792" spans="1:4">
      <c r="A792" s="13"/>
      <c r="B792" s="13"/>
      <c r="C792" s="22"/>
      <c r="D792" s="13"/>
    </row>
    <row r="793" spans="1:4">
      <c r="A793" s="13"/>
      <c r="B793" s="13"/>
      <c r="C793" s="22"/>
      <c r="D793" s="13"/>
    </row>
    <row r="794" spans="1:4">
      <c r="A794" s="13"/>
      <c r="B794" s="13"/>
      <c r="C794" s="22"/>
      <c r="D794" s="13"/>
    </row>
    <row r="795" spans="1:4">
      <c r="A795" s="13"/>
      <c r="B795" s="13"/>
      <c r="C795" s="22"/>
      <c r="D795" s="13"/>
    </row>
    <row r="796" spans="1:4">
      <c r="A796" s="13"/>
      <c r="B796" s="13"/>
      <c r="C796" s="22"/>
      <c r="D796" s="13"/>
    </row>
    <row r="797" spans="1:4">
      <c r="A797" s="13"/>
      <c r="B797" s="13"/>
      <c r="C797" s="22"/>
      <c r="D797" s="13"/>
    </row>
    <row r="798" spans="1:4">
      <c r="A798" s="13"/>
      <c r="B798" s="13"/>
      <c r="C798" s="22"/>
      <c r="D798" s="13"/>
    </row>
    <row r="799" spans="1:4">
      <c r="A799" s="13"/>
      <c r="B799" s="13"/>
      <c r="C799" s="22"/>
      <c r="D799" s="13"/>
    </row>
    <row r="800" spans="1:4">
      <c r="A800" s="13"/>
      <c r="B800" s="13"/>
      <c r="C800" s="22"/>
      <c r="D800" s="13"/>
    </row>
    <row r="801" spans="1:4">
      <c r="A801" s="13"/>
      <c r="B801" s="13"/>
      <c r="C801" s="22"/>
      <c r="D801" s="13"/>
    </row>
    <row r="802" spans="1:4">
      <c r="A802" s="13"/>
      <c r="B802" s="13"/>
      <c r="C802" s="22"/>
      <c r="D802" s="13"/>
    </row>
    <row r="803" spans="1:4">
      <c r="A803" s="13"/>
      <c r="B803" s="13"/>
      <c r="C803" s="22"/>
      <c r="D803" s="13"/>
    </row>
    <row r="804" spans="1:4">
      <c r="A804" s="13"/>
      <c r="B804" s="13"/>
      <c r="C804" s="22"/>
      <c r="D804" s="13"/>
    </row>
    <row r="805" spans="1:4">
      <c r="A805" s="13"/>
      <c r="B805" s="13"/>
      <c r="C805" s="22"/>
      <c r="D805" s="13"/>
    </row>
    <row r="806" spans="1:4">
      <c r="A806" s="13"/>
      <c r="B806" s="13"/>
      <c r="C806" s="22"/>
      <c r="D806" s="13"/>
    </row>
    <row r="807" spans="1:4">
      <c r="A807" s="13"/>
      <c r="B807" s="13"/>
      <c r="C807" s="22"/>
      <c r="D807" s="13"/>
    </row>
    <row r="808" spans="1:4">
      <c r="A808" s="13"/>
      <c r="B808" s="13"/>
      <c r="C808" s="22"/>
      <c r="D808" s="13"/>
    </row>
    <row r="809" spans="1:4">
      <c r="A809" s="13"/>
      <c r="B809" s="13"/>
      <c r="C809" s="22"/>
      <c r="D809" s="13"/>
    </row>
    <row r="810" spans="1:4">
      <c r="A810" s="13"/>
      <c r="B810" s="13"/>
      <c r="C810" s="22"/>
      <c r="D810" s="13"/>
    </row>
    <row r="811" spans="1:4">
      <c r="A811" s="13"/>
      <c r="B811" s="13"/>
      <c r="C811" s="22"/>
      <c r="D811" s="13"/>
    </row>
    <row r="812" spans="1:4">
      <c r="A812" s="13"/>
      <c r="B812" s="13"/>
      <c r="C812" s="22"/>
      <c r="D812" s="13"/>
    </row>
    <row r="813" spans="1:4">
      <c r="A813" s="13"/>
      <c r="B813" s="13"/>
      <c r="C813" s="22"/>
      <c r="D813" s="13"/>
    </row>
    <row r="814" spans="1:4">
      <c r="A814" s="13"/>
      <c r="B814" s="13"/>
      <c r="C814" s="22"/>
      <c r="D814" s="13"/>
    </row>
    <row r="815" spans="1:4">
      <c r="A815" s="13"/>
      <c r="B815" s="13"/>
      <c r="C815" s="22"/>
      <c r="D815" s="13"/>
    </row>
    <row r="816" spans="1:4">
      <c r="A816" s="13"/>
      <c r="B816" s="13"/>
      <c r="C816" s="22"/>
      <c r="D816" s="13"/>
    </row>
    <row r="817" spans="1:4">
      <c r="A817" s="13"/>
      <c r="B817" s="13"/>
      <c r="C817" s="22"/>
      <c r="D817" s="13"/>
    </row>
    <row r="818" spans="1:4">
      <c r="A818" s="13"/>
      <c r="B818" s="13"/>
      <c r="C818" s="22"/>
      <c r="D818" s="13"/>
    </row>
    <row r="819" spans="1:4">
      <c r="A819" s="13"/>
      <c r="B819" s="13"/>
      <c r="C819" s="22"/>
      <c r="D819" s="13"/>
    </row>
    <row r="820" spans="1:4">
      <c r="A820" s="13"/>
      <c r="B820" s="13"/>
      <c r="C820" s="22"/>
      <c r="D820" s="13"/>
    </row>
    <row r="821" spans="1:4">
      <c r="A821" s="13"/>
      <c r="B821" s="13"/>
      <c r="C821" s="22"/>
      <c r="D821" s="13"/>
    </row>
    <row r="822" spans="1:4">
      <c r="A822" s="13"/>
      <c r="B822" s="13"/>
      <c r="C822" s="22"/>
      <c r="D822" s="13"/>
    </row>
    <row r="823" spans="1:4">
      <c r="A823" s="13"/>
      <c r="B823" s="13"/>
      <c r="C823" s="22"/>
      <c r="D823" s="13"/>
    </row>
    <row r="824" spans="1:4">
      <c r="A824" s="13"/>
      <c r="B824" s="13"/>
      <c r="C824" s="22"/>
      <c r="D824" s="13"/>
    </row>
    <row r="825" spans="1:4">
      <c r="A825" s="13"/>
      <c r="B825" s="13"/>
      <c r="C825" s="22"/>
      <c r="D825" s="13"/>
    </row>
    <row r="826" spans="1:4">
      <c r="A826" s="13"/>
      <c r="B826" s="13"/>
      <c r="C826" s="22"/>
      <c r="D826" s="13"/>
    </row>
    <row r="827" spans="1:4">
      <c r="A827" s="13"/>
      <c r="B827" s="13"/>
      <c r="C827" s="22"/>
      <c r="D827" s="13"/>
    </row>
    <row r="828" spans="1:4">
      <c r="A828" s="13"/>
      <c r="B828" s="13"/>
      <c r="C828" s="22"/>
      <c r="D828" s="13"/>
    </row>
    <row r="829" spans="1:4">
      <c r="A829" s="13"/>
      <c r="B829" s="13"/>
      <c r="C829" s="22"/>
      <c r="D829" s="13"/>
    </row>
    <row r="830" spans="1:4">
      <c r="A830" s="13"/>
      <c r="B830" s="13"/>
      <c r="C830" s="22"/>
      <c r="D830" s="13"/>
    </row>
    <row r="831" spans="1:4">
      <c r="A831" s="13"/>
      <c r="B831" s="13"/>
      <c r="C831" s="22"/>
      <c r="D831" s="13"/>
    </row>
    <row r="832" spans="1:4">
      <c r="A832" s="13"/>
      <c r="B832" s="13"/>
      <c r="C832" s="22"/>
      <c r="D832" s="13"/>
    </row>
    <row r="833" spans="1:4">
      <c r="A833" s="13"/>
      <c r="B833" s="13"/>
      <c r="C833" s="22"/>
      <c r="D833" s="13"/>
    </row>
    <row r="834" spans="1:4">
      <c r="A834" s="13"/>
      <c r="B834" s="13"/>
      <c r="C834" s="22"/>
      <c r="D834" s="13"/>
    </row>
    <row r="835" spans="1:4">
      <c r="A835" s="13"/>
      <c r="B835" s="13"/>
      <c r="C835" s="22"/>
      <c r="D835" s="13"/>
    </row>
    <row r="836" spans="1:4">
      <c r="A836" s="13"/>
      <c r="B836" s="13"/>
      <c r="C836" s="22"/>
      <c r="D836" s="13"/>
    </row>
    <row r="837" spans="1:4">
      <c r="A837" s="13"/>
      <c r="B837" s="13"/>
      <c r="C837" s="22"/>
      <c r="D837" s="13"/>
    </row>
    <row r="838" spans="1:4">
      <c r="A838" s="13"/>
      <c r="B838" s="13"/>
      <c r="C838" s="22"/>
      <c r="D838" s="13"/>
    </row>
    <row r="839" spans="1:4">
      <c r="A839" s="13"/>
      <c r="B839" s="13"/>
      <c r="C839" s="22"/>
      <c r="D839" s="13"/>
    </row>
    <row r="840" spans="1:4">
      <c r="A840" s="13"/>
      <c r="B840" s="13"/>
      <c r="C840" s="22"/>
      <c r="D840" s="13"/>
    </row>
    <row r="841" spans="1:4">
      <c r="A841" s="13"/>
      <c r="B841" s="13"/>
      <c r="C841" s="22"/>
      <c r="D841" s="13"/>
    </row>
    <row r="842" spans="1:4">
      <c r="A842" s="13"/>
      <c r="B842" s="13"/>
      <c r="C842" s="22"/>
      <c r="D842" s="13"/>
    </row>
    <row r="843" spans="1:4">
      <c r="A843" s="13"/>
      <c r="B843" s="13"/>
      <c r="C843" s="22"/>
      <c r="D843" s="13"/>
    </row>
    <row r="844" spans="1:4">
      <c r="A844" s="13"/>
      <c r="B844" s="13"/>
      <c r="C844" s="22"/>
      <c r="D844" s="13"/>
    </row>
    <row r="845" spans="1:4">
      <c r="A845" s="13"/>
      <c r="B845" s="13"/>
      <c r="C845" s="22"/>
      <c r="D845" s="13"/>
    </row>
    <row r="846" spans="1:4">
      <c r="A846" s="13"/>
      <c r="B846" s="13"/>
      <c r="C846" s="22"/>
      <c r="D846" s="13"/>
    </row>
    <row r="847" spans="1:4">
      <c r="A847" s="13"/>
      <c r="B847" s="13"/>
      <c r="C847" s="22"/>
      <c r="D847" s="13"/>
    </row>
    <row r="848" spans="1:4">
      <c r="A848" s="13"/>
      <c r="B848" s="13"/>
      <c r="C848" s="22"/>
      <c r="D848" s="13"/>
    </row>
    <row r="849" spans="1:4">
      <c r="A849" s="13"/>
      <c r="B849" s="13"/>
      <c r="C849" s="22"/>
      <c r="D849" s="13"/>
    </row>
    <row r="850" spans="1:4">
      <c r="A850" s="13"/>
      <c r="B850" s="13"/>
      <c r="C850" s="22"/>
      <c r="D850" s="13"/>
    </row>
    <row r="851" spans="1:4">
      <c r="A851" s="13"/>
      <c r="B851" s="13"/>
      <c r="C851" s="22"/>
      <c r="D851" s="13"/>
    </row>
    <row r="852" spans="1:4">
      <c r="A852" s="13"/>
      <c r="B852" s="13"/>
      <c r="C852" s="22"/>
      <c r="D852" s="13"/>
    </row>
    <row r="853" spans="1:4">
      <c r="A853" s="13"/>
      <c r="B853" s="13"/>
      <c r="C853" s="22"/>
      <c r="D853" s="13"/>
    </row>
    <row r="854" spans="1:4">
      <c r="A854" s="13"/>
      <c r="B854" s="13"/>
      <c r="C854" s="22"/>
      <c r="D854" s="13"/>
    </row>
    <row r="855" spans="1:4">
      <c r="A855" s="13"/>
      <c r="B855" s="13"/>
      <c r="C855" s="22"/>
      <c r="D855" s="13"/>
    </row>
    <row r="856" spans="1:4">
      <c r="A856" s="13"/>
      <c r="B856" s="13"/>
      <c r="C856" s="22"/>
      <c r="D856" s="13"/>
    </row>
    <row r="857" spans="1:4">
      <c r="A857" s="13"/>
      <c r="B857" s="13"/>
      <c r="C857" s="22"/>
      <c r="D857" s="13"/>
    </row>
    <row r="858" spans="1:4">
      <c r="A858" s="13"/>
      <c r="B858" s="13"/>
      <c r="C858" s="22"/>
      <c r="D858" s="13"/>
    </row>
    <row r="859" spans="1:4">
      <c r="A859" s="13"/>
      <c r="B859" s="13"/>
      <c r="C859" s="22"/>
      <c r="D859" s="13"/>
    </row>
    <row r="860" spans="1:4">
      <c r="A860" s="13"/>
      <c r="B860" s="13"/>
      <c r="C860" s="22"/>
      <c r="D860" s="13"/>
    </row>
    <row r="861" spans="1:4">
      <c r="A861" s="13"/>
      <c r="B861" s="13"/>
      <c r="C861" s="22"/>
      <c r="D861" s="13"/>
    </row>
    <row r="862" spans="1:4">
      <c r="A862" s="13"/>
      <c r="B862" s="13"/>
      <c r="C862" s="22"/>
      <c r="D862" s="13"/>
    </row>
    <row r="863" spans="1:4">
      <c r="A863" s="13"/>
      <c r="B863" s="13"/>
      <c r="C863" s="22"/>
      <c r="D863" s="13"/>
    </row>
    <row r="864" spans="1:4">
      <c r="A864" s="13"/>
      <c r="B864" s="13"/>
      <c r="C864" s="22"/>
      <c r="D864" s="13"/>
    </row>
    <row r="865" spans="1:4">
      <c r="A865" s="13"/>
      <c r="B865" s="13"/>
      <c r="C865" s="22"/>
      <c r="D865" s="13"/>
    </row>
    <row r="866" spans="1:4">
      <c r="A866" s="13"/>
      <c r="B866" s="13"/>
      <c r="C866" s="22"/>
      <c r="D866" s="13"/>
    </row>
    <row r="867" spans="1:4">
      <c r="A867" s="13"/>
      <c r="B867" s="13"/>
      <c r="C867" s="22"/>
      <c r="D867" s="13"/>
    </row>
    <row r="868" spans="1:4">
      <c r="A868" s="13"/>
      <c r="B868" s="13"/>
      <c r="C868" s="22"/>
      <c r="D868" s="13"/>
    </row>
    <row r="869" spans="1:4">
      <c r="A869" s="13"/>
      <c r="B869" s="13"/>
      <c r="C869" s="22"/>
      <c r="D869" s="13"/>
    </row>
    <row r="870" spans="1:4">
      <c r="A870" s="13"/>
      <c r="B870" s="13"/>
      <c r="C870" s="22"/>
      <c r="D870" s="13"/>
    </row>
    <row r="871" spans="1:4">
      <c r="A871" s="13"/>
      <c r="B871" s="13"/>
      <c r="C871" s="22"/>
      <c r="D871" s="13"/>
    </row>
    <row r="872" spans="1:4">
      <c r="A872" s="13"/>
      <c r="B872" s="13"/>
      <c r="C872" s="22"/>
      <c r="D872" s="13"/>
    </row>
    <row r="873" spans="1:4">
      <c r="A873" s="13"/>
      <c r="B873" s="13"/>
      <c r="C873" s="22"/>
      <c r="D873" s="13"/>
    </row>
    <row r="874" spans="1:4">
      <c r="A874" s="13"/>
      <c r="B874" s="13"/>
      <c r="C874" s="22"/>
      <c r="D874" s="13"/>
    </row>
    <row r="875" spans="1:4">
      <c r="A875" s="13"/>
      <c r="B875" s="13"/>
      <c r="C875" s="22"/>
      <c r="D875" s="13"/>
    </row>
    <row r="876" spans="1:4">
      <c r="A876" s="13"/>
      <c r="B876" s="13"/>
      <c r="C876" s="22"/>
      <c r="D876" s="13"/>
    </row>
    <row r="877" spans="1:4">
      <c r="A877" s="13"/>
      <c r="B877" s="13"/>
      <c r="C877" s="22"/>
      <c r="D877" s="13"/>
    </row>
    <row r="878" spans="1:4">
      <c r="A878" s="13"/>
      <c r="B878" s="13"/>
      <c r="C878" s="22"/>
      <c r="D878" s="13"/>
    </row>
    <row r="879" spans="1:4">
      <c r="A879" s="13"/>
      <c r="B879" s="13"/>
      <c r="C879" s="22"/>
      <c r="D879" s="13"/>
    </row>
    <row r="880" spans="1:4">
      <c r="A880" s="13"/>
      <c r="B880" s="13"/>
      <c r="C880" s="22"/>
      <c r="D880" s="13"/>
    </row>
    <row r="881" spans="1:4">
      <c r="A881" s="13"/>
      <c r="B881" s="13"/>
      <c r="C881" s="22"/>
      <c r="D881" s="13"/>
    </row>
    <row r="882" spans="1:4">
      <c r="A882" s="13"/>
      <c r="B882" s="13"/>
      <c r="C882" s="22"/>
      <c r="D882" s="13"/>
    </row>
    <row r="883" spans="1:4">
      <c r="A883" s="13"/>
      <c r="B883" s="13"/>
      <c r="C883" s="22"/>
      <c r="D883" s="13"/>
    </row>
    <row r="884" spans="1:4">
      <c r="A884" s="13"/>
      <c r="B884" s="13"/>
      <c r="C884" s="22"/>
      <c r="D884" s="13"/>
    </row>
    <row r="885" spans="1:4">
      <c r="A885" s="13"/>
      <c r="B885" s="13"/>
      <c r="C885" s="22"/>
      <c r="D885" s="13"/>
    </row>
    <row r="886" spans="1:4">
      <c r="A886" s="13"/>
      <c r="B886" s="13"/>
      <c r="C886" s="22"/>
      <c r="D886" s="13"/>
    </row>
    <row r="887" spans="1:4">
      <c r="A887" s="13"/>
      <c r="B887" s="13"/>
      <c r="C887" s="22"/>
      <c r="D887" s="13"/>
    </row>
    <row r="888" spans="1:4">
      <c r="A888" s="13"/>
      <c r="B888" s="13"/>
      <c r="C888" s="22"/>
      <c r="D888" s="13"/>
    </row>
    <row r="889" spans="1:4">
      <c r="A889" s="13"/>
      <c r="B889" s="13"/>
      <c r="C889" s="22"/>
      <c r="D889" s="13"/>
    </row>
    <row r="890" spans="1:4">
      <c r="A890" s="13"/>
      <c r="B890" s="13"/>
      <c r="C890" s="22"/>
      <c r="D890" s="13"/>
    </row>
    <row r="891" spans="1:4">
      <c r="A891" s="13"/>
      <c r="B891" s="13"/>
      <c r="C891" s="22"/>
      <c r="D891" s="13"/>
    </row>
    <row r="892" spans="1:4">
      <c r="A892" s="13"/>
      <c r="B892" s="13"/>
      <c r="C892" s="22"/>
      <c r="D892" s="13"/>
    </row>
    <row r="893" spans="1:4">
      <c r="A893" s="13"/>
      <c r="B893" s="13"/>
      <c r="C893" s="22"/>
      <c r="D893" s="13"/>
    </row>
    <row r="894" spans="1:4">
      <c r="A894" s="13"/>
      <c r="B894" s="13"/>
      <c r="C894" s="22"/>
      <c r="D894" s="13"/>
    </row>
    <row r="895" spans="1:4">
      <c r="A895" s="13"/>
      <c r="B895" s="13"/>
      <c r="C895" s="22"/>
      <c r="D895" s="13"/>
    </row>
    <row r="896" spans="1:4">
      <c r="A896" s="13"/>
      <c r="B896" s="13"/>
      <c r="C896" s="22"/>
      <c r="D896" s="13"/>
    </row>
    <row r="897" spans="1:4">
      <c r="A897" s="13"/>
      <c r="B897" s="13"/>
      <c r="C897" s="22"/>
      <c r="D897" s="13"/>
    </row>
    <row r="898" spans="1:4">
      <c r="A898" s="13"/>
      <c r="B898" s="13"/>
      <c r="C898" s="22"/>
      <c r="D898" s="13"/>
    </row>
    <row r="899" spans="1:4">
      <c r="A899" s="13"/>
      <c r="B899" s="13"/>
      <c r="C899" s="22"/>
      <c r="D899" s="13"/>
    </row>
    <row r="900" spans="1:4">
      <c r="A900" s="13"/>
      <c r="B900" s="13"/>
      <c r="C900" s="22"/>
      <c r="D900" s="13"/>
    </row>
    <row r="901" spans="1:4">
      <c r="A901" s="13"/>
      <c r="B901" s="13"/>
      <c r="C901" s="22"/>
      <c r="D901" s="13"/>
    </row>
    <row r="902" spans="1:4">
      <c r="A902" s="13"/>
      <c r="B902" s="13"/>
      <c r="C902" s="22"/>
      <c r="D902" s="13"/>
    </row>
    <row r="903" spans="1:4">
      <c r="A903" s="13"/>
      <c r="B903" s="13"/>
      <c r="C903" s="22"/>
      <c r="D903" s="13"/>
    </row>
    <row r="904" spans="1:4">
      <c r="A904" s="13"/>
      <c r="B904" s="13"/>
      <c r="C904" s="22"/>
      <c r="D904" s="13"/>
    </row>
    <row r="905" spans="1:4">
      <c r="A905" s="13"/>
      <c r="B905" s="13"/>
      <c r="C905" s="22"/>
      <c r="D905" s="13"/>
    </row>
    <row r="906" spans="1:4">
      <c r="A906" s="13"/>
      <c r="B906" s="13"/>
      <c r="C906" s="22"/>
      <c r="D906" s="13"/>
    </row>
    <row r="907" spans="1:4">
      <c r="A907" s="13"/>
      <c r="B907" s="13"/>
      <c r="C907" s="22"/>
      <c r="D907" s="13"/>
    </row>
    <row r="908" spans="1:4">
      <c r="A908" s="13"/>
      <c r="B908" s="13"/>
      <c r="C908" s="22"/>
      <c r="D908" s="13"/>
    </row>
    <row r="909" spans="1:4">
      <c r="A909" s="13"/>
      <c r="B909" s="13"/>
      <c r="C909" s="22"/>
      <c r="D909" s="13"/>
    </row>
    <row r="910" spans="1:4">
      <c r="A910" s="13"/>
      <c r="B910" s="13"/>
      <c r="C910" s="22"/>
      <c r="D910" s="13"/>
    </row>
    <row r="911" spans="1:4">
      <c r="A911" s="13"/>
      <c r="B911" s="13"/>
      <c r="C911" s="22"/>
      <c r="D911" s="13"/>
    </row>
    <row r="912" spans="1:4">
      <c r="A912" s="13"/>
      <c r="B912" s="13"/>
      <c r="C912" s="22"/>
      <c r="D912" s="13"/>
    </row>
    <row r="913" spans="1:4">
      <c r="A913" s="13"/>
      <c r="B913" s="13"/>
      <c r="C913" s="22"/>
      <c r="D913" s="13"/>
    </row>
    <row r="914" spans="1:4">
      <c r="A914" s="13"/>
      <c r="B914" s="13"/>
      <c r="C914" s="22"/>
      <c r="D914" s="13"/>
    </row>
    <row r="915" spans="1:4">
      <c r="A915" s="13"/>
      <c r="B915" s="13"/>
      <c r="C915" s="22"/>
      <c r="D915" s="13"/>
    </row>
    <row r="916" spans="1:4">
      <c r="A916" s="13"/>
      <c r="B916" s="13"/>
      <c r="C916" s="22"/>
      <c r="D916" s="13"/>
    </row>
    <row r="917" spans="1:4">
      <c r="A917" s="13"/>
      <c r="B917" s="13"/>
      <c r="C917" s="22"/>
      <c r="D917" s="13"/>
    </row>
    <row r="918" spans="1:4">
      <c r="A918" s="13"/>
      <c r="B918" s="13"/>
      <c r="C918" s="22"/>
      <c r="D918" s="13"/>
    </row>
    <row r="919" spans="1:4">
      <c r="A919" s="13"/>
      <c r="B919" s="13"/>
      <c r="C919" s="22"/>
      <c r="D919" s="13"/>
    </row>
    <row r="920" spans="1:4">
      <c r="A920" s="13"/>
      <c r="B920" s="13"/>
      <c r="C920" s="22"/>
      <c r="D920" s="13"/>
    </row>
    <row r="921" spans="1:4">
      <c r="A921" s="13"/>
      <c r="B921" s="13"/>
      <c r="C921" s="22"/>
      <c r="D921" s="13"/>
    </row>
    <row r="922" spans="1:4">
      <c r="A922" s="18"/>
      <c r="B922" s="13"/>
      <c r="C922" s="22"/>
      <c r="D922" s="22"/>
    </row>
  </sheetData>
  <sheetProtection sheet="1" objects="1" scenarios="1"/>
  <mergeCells count="42">
    <mergeCell ref="B6:D6"/>
    <mergeCell ref="A1:D1"/>
    <mergeCell ref="B2:D2"/>
    <mergeCell ref="B3:D3"/>
    <mergeCell ref="B4:D4"/>
    <mergeCell ref="B5:D5"/>
    <mergeCell ref="A124:D124"/>
    <mergeCell ref="B7:D7"/>
    <mergeCell ref="B8:D8"/>
    <mergeCell ref="A10:D10"/>
    <mergeCell ref="A19:D19"/>
    <mergeCell ref="A32:D32"/>
    <mergeCell ref="A47:D47"/>
    <mergeCell ref="A56:D56"/>
    <mergeCell ref="A67:D67"/>
    <mergeCell ref="A90:D90"/>
    <mergeCell ref="A103:D103"/>
    <mergeCell ref="A113:D113"/>
    <mergeCell ref="A231:D231"/>
    <mergeCell ref="A135:D135"/>
    <mergeCell ref="A144:D144"/>
    <mergeCell ref="A154:D154"/>
    <mergeCell ref="A163:D163"/>
    <mergeCell ref="A172:D172"/>
    <mergeCell ref="A180:D180"/>
    <mergeCell ref="A188:D188"/>
    <mergeCell ref="A197:D197"/>
    <mergeCell ref="A206:D206"/>
    <mergeCell ref="A214:D214"/>
    <mergeCell ref="A222:D222"/>
    <mergeCell ref="A339:D339"/>
    <mergeCell ref="A240:D240"/>
    <mergeCell ref="A249:D249"/>
    <mergeCell ref="A258:D258"/>
    <mergeCell ref="A267:D267"/>
    <mergeCell ref="A276:D276"/>
    <mergeCell ref="A285:D285"/>
    <mergeCell ref="A294:D294"/>
    <mergeCell ref="A303:D303"/>
    <mergeCell ref="A312:D312"/>
    <mergeCell ref="A320:D320"/>
    <mergeCell ref="A331:D331"/>
  </mergeCells>
  <dataValidations count="1">
    <dataValidation type="list" allowBlank="1" showInputMessage="1" showErrorMessage="1" sqref="B7:D7">
      <formula1>Quest2</formula1>
    </dataValidation>
  </dataValidation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dimension ref="A1:H923"/>
  <sheetViews>
    <sheetView topLeftCell="A105" zoomScaleNormal="100" workbookViewId="0">
      <selection activeCell="B105" sqref="B105:D108"/>
    </sheetView>
  </sheetViews>
  <sheetFormatPr defaultRowHeight="15"/>
  <cols>
    <col min="1" max="1" width="25.7109375" style="26" customWidth="1"/>
    <col min="2" max="2" width="19.7109375" style="24" customWidth="1"/>
    <col min="3" max="4" width="19.7109375" style="27" customWidth="1"/>
    <col min="5" max="16384" width="9.140625" style="24"/>
  </cols>
  <sheetData>
    <row r="1" spans="1:4">
      <c r="A1" s="56" t="str">
        <f>'Survey Tool'!A1:C1</f>
        <v>Survey of Patient Experience 2017</v>
      </c>
      <c r="B1" s="56"/>
      <c r="C1" s="56"/>
      <c r="D1" s="57"/>
    </row>
    <row r="2" spans="1:4">
      <c r="A2" s="14" t="str">
        <f>'Survey Tool'!A2</f>
        <v>CHO Area</v>
      </c>
      <c r="B2" s="53">
        <f>'Survey Tool'!B2:C2</f>
        <v>0</v>
      </c>
      <c r="C2" s="53"/>
      <c r="D2" s="51"/>
    </row>
    <row r="3" spans="1:4">
      <c r="A3" s="14" t="str">
        <f>'Survey Tool'!A3</f>
        <v>Primary Care Centre</v>
      </c>
      <c r="B3" s="53">
        <f>'Survey Tool'!B3:C3</f>
        <v>0</v>
      </c>
      <c r="C3" s="53"/>
      <c r="D3" s="51"/>
    </row>
    <row r="4" spans="1:4">
      <c r="A4" s="14" t="str">
        <f>'Survey Tool'!A4</f>
        <v>Data Entry by</v>
      </c>
      <c r="B4" s="53">
        <f>'Survey Tool'!B4:C4</f>
        <v>0</v>
      </c>
      <c r="C4" s="53"/>
      <c r="D4" s="51"/>
    </row>
    <row r="5" spans="1:4">
      <c r="A5" s="14" t="str">
        <f>'Survey Tool'!A5</f>
        <v>Date of Survey</v>
      </c>
      <c r="B5" s="53">
        <f>'Survey Tool'!B5:C5</f>
        <v>0</v>
      </c>
      <c r="C5" s="53"/>
      <c r="D5" s="51"/>
    </row>
    <row r="6" spans="1:4">
      <c r="A6" s="14" t="str">
        <f>'Survey Tool'!A6</f>
        <v>No in Survey</v>
      </c>
      <c r="B6" s="53">
        <f>'Survey Tool'!B6:C6</f>
        <v>0</v>
      </c>
      <c r="C6" s="53"/>
      <c r="D6" s="51"/>
    </row>
    <row r="7" spans="1:4" ht="30">
      <c r="A7" s="25" t="s">
        <v>224</v>
      </c>
      <c r="B7" s="60" t="s">
        <v>141</v>
      </c>
      <c r="C7" s="60"/>
      <c r="D7" s="61"/>
    </row>
    <row r="8" spans="1:4" ht="30">
      <c r="A8" s="14" t="s">
        <v>79</v>
      </c>
      <c r="B8" s="53">
        <f>COUNTIF(Table2[Do you hold any of the following cards?],Condition_1)</f>
        <v>0</v>
      </c>
      <c r="C8" s="53"/>
      <c r="D8" s="51"/>
    </row>
    <row r="9" spans="1:4">
      <c r="A9" s="18"/>
      <c r="B9" s="13"/>
      <c r="C9" s="22"/>
      <c r="D9" s="22"/>
    </row>
    <row r="10" spans="1:4">
      <c r="A10" s="53" t="str">
        <f>'Validation List'!B3</f>
        <v>Gender</v>
      </c>
      <c r="B10" s="53"/>
      <c r="C10" s="53"/>
      <c r="D10" s="51"/>
    </row>
    <row r="11" spans="1:4">
      <c r="A11" s="15"/>
      <c r="B11" s="16" t="s">
        <v>37</v>
      </c>
      <c r="C11" s="17" t="s">
        <v>38</v>
      </c>
      <c r="D11" s="17" t="s">
        <v>42</v>
      </c>
    </row>
    <row r="12" spans="1:4">
      <c r="A12" s="15" t="str">
        <f>'Validation List'!B6</f>
        <v>Male</v>
      </c>
      <c r="B12" s="16">
        <f>COUNTIFS(Table2[Do you hold any of the following cards?],Condition_1,Table2[Your gender. Are you?],A12)</f>
        <v>0</v>
      </c>
      <c r="C12" s="17" t="e">
        <f>B12/'Search by Health Card'!No_who_answered_survey*100</f>
        <v>#DIV/0!</v>
      </c>
      <c r="D12" s="17" t="e">
        <f>B12/(No_who_answered_survey-COUNTIFS(Table2[Do you hold any of the following cards?],Condition_1,Table2[Your gender. Are you?],"Not answered"))*100</f>
        <v>#DIV/0!</v>
      </c>
    </row>
    <row r="13" spans="1:4">
      <c r="A13" s="15" t="str">
        <f>'Validation List'!B7</f>
        <v>Female</v>
      </c>
      <c r="B13" s="16">
        <f>COUNTIFS(Table2[Do you hold any of the following cards?],Condition_1,Table2[Your gender. Are you?],A13)</f>
        <v>0</v>
      </c>
      <c r="C13" s="17" t="e">
        <f>B13/'Search by Health Card'!No_who_answered_survey*100</f>
        <v>#DIV/0!</v>
      </c>
      <c r="D13" s="17" t="e">
        <f>B13/(No_who_answered_survey-COUNTIFS(Table2[Do you hold any of the following cards?],Condition_1,Table2[Your gender. Are you?],"Not answered"))*100</f>
        <v>#DIV/0!</v>
      </c>
    </row>
    <row r="14" spans="1:4">
      <c r="A14" s="15" t="str">
        <f>'Validation List'!B8</f>
        <v>Other</v>
      </c>
      <c r="B14" s="16">
        <f>COUNTIFS(Table2[Do you hold any of the following cards?],Condition_1,Table2[Your gender. Are you?],A14)</f>
        <v>0</v>
      </c>
      <c r="C14" s="17" t="e">
        <f>B14/'Search by Health Card'!No_who_answered_survey*100</f>
        <v>#DIV/0!</v>
      </c>
      <c r="D14" s="17" t="e">
        <f>B14/(No_who_answered_survey-COUNTIFS(Table2[Do you hold any of the following cards?],Condition_1,Table2[Your gender. Are you?],"Not answered"))*100</f>
        <v>#DIV/0!</v>
      </c>
    </row>
    <row r="15" spans="1:4" ht="15" customHeight="1">
      <c r="A15" s="15" t="str">
        <f>'Validation List'!B15</f>
        <v>Not answered</v>
      </c>
      <c r="B15" s="16">
        <f>COUNTIFS(Table2[Do you hold any of the following cards?],Condition_1,Table2[Your gender. Are you?],A15)</f>
        <v>0</v>
      </c>
      <c r="C15" s="17" t="e">
        <f>B15/'Search by Health Card'!No_who_answered_survey*100</f>
        <v>#DIV/0!</v>
      </c>
      <c r="D15" s="17"/>
    </row>
    <row r="16" spans="1:4">
      <c r="A16" s="15" t="s">
        <v>39</v>
      </c>
      <c r="B16" s="16">
        <f>SUM(B12:B15)</f>
        <v>0</v>
      </c>
      <c r="C16" s="17" t="e">
        <f>SUM(C12:C15)</f>
        <v>#DIV/0!</v>
      </c>
      <c r="D16" s="17" t="e">
        <f>SUM(D12:D15)</f>
        <v>#DIV/0!</v>
      </c>
    </row>
    <row r="17" spans="1:4">
      <c r="A17" s="18"/>
      <c r="B17" s="13"/>
      <c r="C17" s="22"/>
      <c r="D17" s="22"/>
    </row>
    <row r="18" spans="1:4">
      <c r="A18" s="18"/>
      <c r="B18" s="13"/>
      <c r="C18" s="22"/>
      <c r="D18" s="22"/>
    </row>
    <row r="19" spans="1:4">
      <c r="A19" s="54" t="str">
        <f>'Validation List'!C3</f>
        <v>Age category</v>
      </c>
      <c r="B19" s="55"/>
      <c r="C19" s="55"/>
      <c r="D19" s="49"/>
    </row>
    <row r="20" spans="1:4">
      <c r="A20" s="15"/>
      <c r="B20" s="16" t="s">
        <v>37</v>
      </c>
      <c r="C20" s="17" t="s">
        <v>38</v>
      </c>
      <c r="D20" s="17" t="s">
        <v>42</v>
      </c>
    </row>
    <row r="21" spans="1:4" ht="30" customHeight="1">
      <c r="A21" s="15" t="str">
        <f>'Validation List'!C6</f>
        <v>Under 18 years of age</v>
      </c>
      <c r="B21" s="16">
        <f>COUNTIFS(Table2[Do you hold any of the following cards?],Condition_1,Table2[What is your age category?],A21)</f>
        <v>0</v>
      </c>
      <c r="C21" s="17" t="e">
        <f t="shared" ref="C21:C27" si="0">B21/No_who_answered_survey*100</f>
        <v>#DIV/0!</v>
      </c>
      <c r="D21" s="17" t="e">
        <f>B21/(No_who_answered_survey-COUNTIFS(Table2[Do you hold any of the following cards?],Condition_1,Table2[What is your age category?],"Not answered"))*100</f>
        <v>#DIV/0!</v>
      </c>
    </row>
    <row r="22" spans="1:4" ht="30" customHeight="1">
      <c r="A22" s="15" t="str">
        <f>'Validation List'!C7</f>
        <v>18-24yrs</v>
      </c>
      <c r="B22" s="16">
        <f>COUNTIFS(Table2[Do you hold any of the following cards?],Condition_1,Table2[What is your age category?],A22)</f>
        <v>0</v>
      </c>
      <c r="C22" s="17" t="e">
        <f t="shared" si="0"/>
        <v>#DIV/0!</v>
      </c>
      <c r="D22" s="17" t="e">
        <f>B22/(No_who_answered_survey-COUNTIFS(Table2[Do you hold any of the following cards?],Condition_1,Table2[What is your age category?],"Not answered"))*100</f>
        <v>#DIV/0!</v>
      </c>
    </row>
    <row r="23" spans="1:4" ht="30" customHeight="1">
      <c r="A23" s="15" t="str">
        <f>'Validation List'!C8</f>
        <v>25-44yrs</v>
      </c>
      <c r="B23" s="16">
        <f>COUNTIFS(Table2[Do you hold any of the following cards?],Condition_1,Table2[What is your age category?],A23)</f>
        <v>0</v>
      </c>
      <c r="C23" s="17" t="e">
        <f t="shared" si="0"/>
        <v>#DIV/0!</v>
      </c>
      <c r="D23" s="17" t="e">
        <f>B23/(No_who_answered_survey-COUNTIFS(Table2[Do you hold any of the following cards?],Condition_1,Table2[What is your age category?],"Not answered"))*100</f>
        <v>#DIV/0!</v>
      </c>
    </row>
    <row r="24" spans="1:4">
      <c r="A24" s="15" t="str">
        <f>'Validation List'!C9</f>
        <v>45-64yrs</v>
      </c>
      <c r="B24" s="16">
        <f>COUNTIFS(Table2[Do you hold any of the following cards?],Condition_1,Table2[What is your age category?],A24)</f>
        <v>0</v>
      </c>
      <c r="C24" s="17" t="e">
        <f t="shared" si="0"/>
        <v>#DIV/0!</v>
      </c>
      <c r="D24" s="17" t="e">
        <f>B24/(No_who_answered_survey-COUNTIFS(Table2[Do you hold any of the following cards?],Condition_1,Table2[What is your age category?],"Not answered"))*100</f>
        <v>#DIV/0!</v>
      </c>
    </row>
    <row r="25" spans="1:4">
      <c r="A25" s="15" t="str">
        <f>'Validation List'!C10</f>
        <v>65-74yrs</v>
      </c>
      <c r="B25" s="16">
        <f>COUNTIFS(Table2[Do you hold any of the following cards?],Condition_1,Table2[What is your age category?],A25)</f>
        <v>0</v>
      </c>
      <c r="C25" s="17" t="e">
        <f t="shared" si="0"/>
        <v>#DIV/0!</v>
      </c>
      <c r="D25" s="17" t="e">
        <f>B25/(No_who_answered_survey-COUNTIFS(Table2[Do you hold any of the following cards?],Condition_1,Table2[What is your age category?],"Not answered"))*100</f>
        <v>#DIV/0!</v>
      </c>
    </row>
    <row r="26" spans="1:4">
      <c r="A26" s="15" t="str">
        <f>'Validation List'!C11</f>
        <v>75 years +</v>
      </c>
      <c r="B26" s="16">
        <f>COUNTIFS(Table2[Do you hold any of the following cards?],Condition_1,Table2[What is your age category?],A26)</f>
        <v>0</v>
      </c>
      <c r="C26" s="17" t="e">
        <f t="shared" si="0"/>
        <v>#DIV/0!</v>
      </c>
      <c r="D26" s="17" t="e">
        <f>B26/(No_who_answered_survey-COUNTIFS(Table2[Do you hold any of the following cards?],Condition_1,Table2[What is your age category?],"Not answered"))*100</f>
        <v>#DIV/0!</v>
      </c>
    </row>
    <row r="27" spans="1:4">
      <c r="A27" s="15" t="str">
        <f>'Validation List'!C15</f>
        <v>Not answered</v>
      </c>
      <c r="B27" s="16">
        <f>COUNTIFS(Table2[Do you hold any of the following cards?],Condition_1,Table2[What is your age category?],A27)</f>
        <v>0</v>
      </c>
      <c r="C27" s="17" t="e">
        <f t="shared" si="0"/>
        <v>#DIV/0!</v>
      </c>
      <c r="D27" s="17"/>
    </row>
    <row r="28" spans="1:4">
      <c r="A28" s="15" t="s">
        <v>39</v>
      </c>
      <c r="B28" s="16">
        <f>SUM(B21:B27)</f>
        <v>0</v>
      </c>
      <c r="C28" s="17" t="e">
        <f>SUM(C21:C27)</f>
        <v>#DIV/0!</v>
      </c>
      <c r="D28" s="17" t="e">
        <f>SUM(D21:D27)</f>
        <v>#DIV/0!</v>
      </c>
    </row>
    <row r="29" spans="1:4">
      <c r="A29" s="18"/>
      <c r="B29" s="13"/>
      <c r="C29" s="22"/>
      <c r="D29" s="22"/>
    </row>
    <row r="30" spans="1:4">
      <c r="A30" s="18"/>
      <c r="B30" s="13"/>
      <c r="C30" s="22"/>
      <c r="D30" s="22"/>
    </row>
    <row r="31" spans="1:4">
      <c r="A31" s="18"/>
      <c r="B31" s="13"/>
      <c r="C31" s="22"/>
      <c r="D31" s="22"/>
    </row>
    <row r="32" spans="1:4">
      <c r="A32" s="54" t="str">
        <f>'Validation List'!D3</f>
        <v>Holder of Health cards</v>
      </c>
      <c r="B32" s="55"/>
      <c r="C32" s="55"/>
      <c r="D32" s="49"/>
    </row>
    <row r="33" spans="1:4">
      <c r="A33" s="15"/>
      <c r="B33" s="16" t="s">
        <v>37</v>
      </c>
      <c r="C33" s="17" t="s">
        <v>38</v>
      </c>
      <c r="D33" s="17" t="s">
        <v>42</v>
      </c>
    </row>
    <row r="34" spans="1:4">
      <c r="A34" s="15" t="str">
        <f>'Validation List'!D6</f>
        <v>Medical Card</v>
      </c>
      <c r="B34" s="16">
        <f>COUNTIF(Table2[Do you hold any of the following cards?],A34)</f>
        <v>0</v>
      </c>
      <c r="C34" s="17" t="e">
        <f t="shared" ref="C34:C43" si="1">B34/No_in_Audit*100</f>
        <v>#DIV/0!</v>
      </c>
      <c r="D34" s="17" t="e">
        <f>B34/(No_in_Audit-COUNTIF(Table2[Do you hold any of the following cards?],"Not answered"))*100</f>
        <v>#DIV/0!</v>
      </c>
    </row>
    <row r="35" spans="1:4">
      <c r="A35" s="15" t="str">
        <f>'Validation List'!D7</f>
        <v>GP Visit Card</v>
      </c>
      <c r="B35" s="16">
        <f>COUNTIF(Table2[Do you hold any of the following cards?],A35)</f>
        <v>0</v>
      </c>
      <c r="C35" s="17" t="e">
        <f t="shared" si="1"/>
        <v>#DIV/0!</v>
      </c>
      <c r="D35" s="17" t="e">
        <f>B35/(No_in_Audit-COUNTIF(Table2[Do you hold any of the following cards?],"Not answered"))*100</f>
        <v>#DIV/0!</v>
      </c>
    </row>
    <row r="36" spans="1:4">
      <c r="A36" s="15" t="str">
        <f>'Validation List'!D8</f>
        <v>Long-term Illness Card</v>
      </c>
      <c r="B36" s="16">
        <f>COUNTIF(Table2[Do you hold any of the following cards?],A36)</f>
        <v>0</v>
      </c>
      <c r="C36" s="17" t="e">
        <f t="shared" si="1"/>
        <v>#DIV/0!</v>
      </c>
      <c r="D36" s="17" t="e">
        <f>B36/(No_in_Audit-COUNTIF(Table2[Do you hold any of the following cards?],"Not answered"))*100</f>
        <v>#DIV/0!</v>
      </c>
    </row>
    <row r="37" spans="1:4" ht="30">
      <c r="A37" s="15" t="str">
        <f>'Validation List'!D9</f>
        <v>Health Amendment Act Card</v>
      </c>
      <c r="B37" s="16">
        <f>COUNTIF(Table2[Do you hold any of the following cards?],A37)</f>
        <v>0</v>
      </c>
      <c r="C37" s="17" t="e">
        <f t="shared" si="1"/>
        <v>#DIV/0!</v>
      </c>
      <c r="D37" s="17" t="e">
        <f>B37/(No_in_Audit-COUNTIF(Table2[Do you hold any of the following cards?],"Not answered"))*100</f>
        <v>#DIV/0!</v>
      </c>
    </row>
    <row r="38" spans="1:4" ht="30">
      <c r="A38" s="15" t="str">
        <f>'Validation List'!D10</f>
        <v>European Health Insurance Card</v>
      </c>
      <c r="B38" s="16">
        <f>COUNTIF(Table2[Do you hold any of the following cards?],A38)</f>
        <v>0</v>
      </c>
      <c r="C38" s="17" t="e">
        <f t="shared" si="1"/>
        <v>#DIV/0!</v>
      </c>
      <c r="D38" s="17" t="e">
        <f>B38/(No_in_Audit-COUNTIF(Table2[Do you hold any of the following cards?],"Not answered"))*100</f>
        <v>#DIV/0!</v>
      </c>
    </row>
    <row r="39" spans="1:4" ht="30">
      <c r="A39" s="15" t="str">
        <f>'Validation List'!D11</f>
        <v>Drug Payment Scheme Card</v>
      </c>
      <c r="B39" s="16">
        <f>COUNTIF(Table2[Do you hold any of the following cards?],A39)</f>
        <v>0</v>
      </c>
      <c r="C39" s="17" t="e">
        <f t="shared" si="1"/>
        <v>#DIV/0!</v>
      </c>
      <c r="D39" s="17" t="e">
        <f>B39/(No_in_Audit-COUNTIF(Table2[Do you hold any of the following cards?],"Not answered"))*100</f>
        <v>#DIV/0!</v>
      </c>
    </row>
    <row r="40" spans="1:4">
      <c r="A40" s="15" t="str">
        <f>'Validation List'!D12</f>
        <v>Other</v>
      </c>
      <c r="B40" s="16">
        <f>COUNTIF(Table2[Do you hold any of the following cards?],A40)</f>
        <v>0</v>
      </c>
      <c r="C40" s="17" t="e">
        <f t="shared" si="1"/>
        <v>#DIV/0!</v>
      </c>
      <c r="D40" s="17" t="e">
        <f>B40/(No_in_Audit-COUNTIF(Table2[Do you hold any of the following cards?],"Not answered"))*100</f>
        <v>#DIV/0!</v>
      </c>
    </row>
    <row r="41" spans="1:4" ht="30">
      <c r="A41" s="15" t="str">
        <f>'Validation List'!D13</f>
        <v>2 or more of the above cards</v>
      </c>
      <c r="B41" s="16">
        <f>COUNTIF(Table2[Do you hold any of the following cards?],A41)</f>
        <v>0</v>
      </c>
      <c r="C41" s="17" t="e">
        <f t="shared" si="1"/>
        <v>#DIV/0!</v>
      </c>
      <c r="D41" s="17" t="e">
        <f>B41/(No_in_Audit-COUNTIF(Table2[Do you hold any of the following cards?],"Not answered"))*100</f>
        <v>#DIV/0!</v>
      </c>
    </row>
    <row r="42" spans="1:4">
      <c r="A42" s="15" t="str">
        <f>'Validation List'!D14</f>
        <v>None of these</v>
      </c>
      <c r="B42" s="16">
        <f>COUNTIF(Table2[Do you hold any of the following cards?],A42)</f>
        <v>0</v>
      </c>
      <c r="C42" s="17" t="e">
        <f t="shared" ref="C42" si="2">B42/No_in_Audit*100</f>
        <v>#DIV/0!</v>
      </c>
      <c r="D42" s="17" t="e">
        <f>B42/(No_in_Audit-COUNTIF(Table2[Do you hold any of the following cards?],"Not answered"))*100</f>
        <v>#DIV/0!</v>
      </c>
    </row>
    <row r="43" spans="1:4">
      <c r="A43" s="15" t="str">
        <f>'Validation List'!D15</f>
        <v>Not answered</v>
      </c>
      <c r="B43" s="16">
        <f>COUNTIF(Table2[Do you hold any of the following cards?],A43)</f>
        <v>0</v>
      </c>
      <c r="C43" s="17" t="e">
        <f t="shared" si="1"/>
        <v>#DIV/0!</v>
      </c>
      <c r="D43" s="17"/>
    </row>
    <row r="44" spans="1:4">
      <c r="A44" s="15" t="s">
        <v>39</v>
      </c>
      <c r="B44" s="16">
        <f>SUM(B34:B43)</f>
        <v>0</v>
      </c>
      <c r="C44" s="17" t="e">
        <f>SUM(C34:C43)</f>
        <v>#DIV/0!</v>
      </c>
      <c r="D44" s="17" t="e">
        <f>SUM(D34:D43)</f>
        <v>#DIV/0!</v>
      </c>
    </row>
    <row r="45" spans="1:4">
      <c r="A45" s="18"/>
      <c r="B45" s="13"/>
      <c r="C45" s="22"/>
      <c r="D45" s="22"/>
    </row>
    <row r="46" spans="1:4">
      <c r="A46" s="18"/>
      <c r="B46" s="13"/>
      <c r="C46" s="22"/>
      <c r="D46" s="22"/>
    </row>
    <row r="47" spans="1:4" s="26" customFormat="1" ht="29.25" customHeight="1">
      <c r="A47" s="47" t="str">
        <f>'Validation List'!E3</f>
        <v>Use of Interpreter Services</v>
      </c>
      <c r="B47" s="48"/>
      <c r="C47" s="48"/>
      <c r="D47" s="52"/>
    </row>
    <row r="48" spans="1:4">
      <c r="A48" s="15"/>
      <c r="B48" s="16" t="s">
        <v>37</v>
      </c>
      <c r="C48" s="17" t="s">
        <v>38</v>
      </c>
      <c r="D48" s="17" t="s">
        <v>42</v>
      </c>
    </row>
    <row r="49" spans="1:4" ht="30">
      <c r="A49" s="15" t="str">
        <f>'Validation List'!E6</f>
        <v>I did not use an interpreter for my appointment</v>
      </c>
      <c r="B49" s="16">
        <f>COUNTIFS(Table2[Do you hold any of the following cards?],Condition_1,Table2[Please state which of the following applies to you?],A49)</f>
        <v>0</v>
      </c>
      <c r="C49" s="17" t="e">
        <f t="shared" ref="C49" si="3">B49/No_who_answered_survey*100</f>
        <v>#DIV/0!</v>
      </c>
      <c r="D49" s="17" t="e">
        <f>B49/(No_who_answered_survey-COUNTIFS(Table2[Do you hold any of the following cards?],Condition_1,Table2[Please state which of the following applies to you?],"Not answered"))*100</f>
        <v>#DIV/0!</v>
      </c>
    </row>
    <row r="50" spans="1:4">
      <c r="A50" s="15" t="str">
        <f>'Validation List'!E7</f>
        <v>I used a Sign interpreter</v>
      </c>
      <c r="B50" s="16">
        <f>COUNTIFS(Table2[Do you hold any of the following cards?],Condition_1,Table2[Please state which of the following applies to you?],A50)</f>
        <v>0</v>
      </c>
      <c r="C50" s="17" t="e">
        <f t="shared" ref="C50:C52" si="4">B50/No_who_answered_survey*100</f>
        <v>#DIV/0!</v>
      </c>
      <c r="D50" s="17" t="e">
        <f>B50/(No_who_answered_survey-COUNTIFS(Table2[Do you hold any of the following cards?],Condition_1,Table2[Please state which of the following applies to you?],"Not answered"))*100</f>
        <v>#DIV/0!</v>
      </c>
    </row>
    <row r="51" spans="1:4" ht="30">
      <c r="A51" s="15" t="str">
        <f>'Validation List'!E8</f>
        <v>I used a Language interpreter</v>
      </c>
      <c r="B51" s="16">
        <f>COUNTIFS(Table2[Do you hold any of the following cards?],Condition_1,Table2[Please state which of the following applies to you?],A51)</f>
        <v>0</v>
      </c>
      <c r="C51" s="17" t="e">
        <f t="shared" si="4"/>
        <v>#DIV/0!</v>
      </c>
      <c r="D51" s="17" t="e">
        <f>B51/(No_who_answered_survey-COUNTIFS(Table2[Do you hold any of the following cards?],Condition_1,Table2[Please state which of the following applies to you?],"Not answered"))*100</f>
        <v>#DIV/0!</v>
      </c>
    </row>
    <row r="52" spans="1:4">
      <c r="A52" s="15" t="str">
        <f>'Validation List'!E15</f>
        <v>Not answered</v>
      </c>
      <c r="B52" s="16">
        <f>COUNTIFS(Table2[Do you hold any of the following cards?],Condition_1,Table2[Please state which of the following applies to you?],A52)</f>
        <v>0</v>
      </c>
      <c r="C52" s="17" t="e">
        <f t="shared" si="4"/>
        <v>#DIV/0!</v>
      </c>
      <c r="D52" s="17"/>
    </row>
    <row r="53" spans="1:4">
      <c r="A53" s="15" t="s">
        <v>39</v>
      </c>
      <c r="B53" s="16">
        <f>SUM(B49:B52)</f>
        <v>0</v>
      </c>
      <c r="C53" s="17" t="e">
        <f>SUM(C49:C52)</f>
        <v>#DIV/0!</v>
      </c>
      <c r="D53" s="17" t="e">
        <f>SUM(D49:D52)</f>
        <v>#DIV/0!</v>
      </c>
    </row>
    <row r="54" spans="1:4">
      <c r="A54" s="18"/>
      <c r="B54" s="13"/>
      <c r="C54" s="22"/>
      <c r="D54" s="22"/>
    </row>
    <row r="55" spans="1:4">
      <c r="A55" s="18"/>
      <c r="B55" s="13"/>
      <c r="C55" s="22"/>
      <c r="D55" s="22"/>
    </row>
    <row r="56" spans="1:4">
      <c r="A56" s="47" t="str">
        <f>'Validation List'!F3</f>
        <v>Patients Country of Origin.</v>
      </c>
      <c r="B56" s="48"/>
      <c r="C56" s="48"/>
      <c r="D56" s="49"/>
    </row>
    <row r="57" spans="1:4">
      <c r="A57" s="15"/>
      <c r="B57" s="16" t="s">
        <v>37</v>
      </c>
      <c r="C57" s="17" t="s">
        <v>38</v>
      </c>
      <c r="D57" s="17" t="s">
        <v>42</v>
      </c>
    </row>
    <row r="58" spans="1:4">
      <c r="A58" s="15" t="str">
        <f>'Validation List'!F6</f>
        <v>Ireland</v>
      </c>
      <c r="B58" s="16">
        <f>COUNTIFS(Table2[Do you hold any of the following cards?],Condition_1,Table2[Please tell us your country of origin.],A58)</f>
        <v>0</v>
      </c>
      <c r="C58" s="17" t="e">
        <f t="shared" ref="C58" si="5">B58/No_who_answered_survey*100</f>
        <v>#DIV/0!</v>
      </c>
      <c r="D58" s="17" t="e">
        <f>B58/(No_who_answered_survey-COUNTIFS(Table2[Do you hold any of the following cards?],Condition_1,Table2[Please tell us your country of origin.],"Not answered"))*100</f>
        <v>#DIV/0!</v>
      </c>
    </row>
    <row r="59" spans="1:4">
      <c r="A59" s="15" t="str">
        <f>'Validation List'!F7</f>
        <v>United Kingdom</v>
      </c>
      <c r="B59" s="16">
        <f>COUNTIFS(Table2[Do you hold any of the following cards?],Condition_1,Table2[Please tell us your country of origin.],A59)</f>
        <v>0</v>
      </c>
      <c r="C59" s="17" t="e">
        <f t="shared" ref="C59:C63" si="6">B59/No_who_answered_survey*100</f>
        <v>#DIV/0!</v>
      </c>
      <c r="D59" s="17" t="e">
        <f>B59/(No_who_answered_survey-COUNTIFS(Table2[Do you hold any of the following cards?],Condition_1,Table2[Please tell us your country of origin.],"Not answered"))*100</f>
        <v>#DIV/0!</v>
      </c>
    </row>
    <row r="60" spans="1:4">
      <c r="A60" s="15" t="str">
        <f>'Validation List'!F8</f>
        <v>EU</v>
      </c>
      <c r="B60" s="16">
        <f>COUNTIFS(Table2[Do you hold any of the following cards?],Condition_1,Table2[Please tell us your country of origin.],A60)</f>
        <v>0</v>
      </c>
      <c r="C60" s="17" t="e">
        <f t="shared" si="6"/>
        <v>#DIV/0!</v>
      </c>
      <c r="D60" s="17" t="e">
        <f>B60/(No_who_answered_survey-COUNTIFS(Table2[Do you hold any of the following cards?],Condition_1,Table2[Please tell us your country of origin.],"Not answered"))*100</f>
        <v>#DIV/0!</v>
      </c>
    </row>
    <row r="61" spans="1:4">
      <c r="A61" s="15" t="str">
        <f>'Validation List'!F9</f>
        <v>Non-EU</v>
      </c>
      <c r="B61" s="16">
        <f>COUNTIFS(Table2[Do you hold any of the following cards?],Condition_1,Table2[Please tell us your country of origin.],A61)</f>
        <v>0</v>
      </c>
      <c r="C61" s="17" t="e">
        <f t="shared" si="6"/>
        <v>#DIV/0!</v>
      </c>
      <c r="D61" s="17" t="e">
        <f>B61/(No_who_answered_survey-COUNTIFS(Table2[Do you hold any of the following cards?],Condition_1,Table2[Please tell us your country of origin.],"Not answered"))*100</f>
        <v>#DIV/0!</v>
      </c>
    </row>
    <row r="62" spans="1:4">
      <c r="A62" s="15" t="str">
        <f>'Validation List'!F10</f>
        <v>Other</v>
      </c>
      <c r="B62" s="16">
        <f>COUNTIFS(Table2[Do you hold any of the following cards?],Condition_1,Table2[Please tell us your country of origin.],A62)</f>
        <v>0</v>
      </c>
      <c r="C62" s="17" t="e">
        <f t="shared" si="6"/>
        <v>#DIV/0!</v>
      </c>
      <c r="D62" s="17" t="e">
        <f>B62/(No_who_answered_survey-COUNTIFS(Table2[Do you hold any of the following cards?],Condition_1,Table2[Please tell us your country of origin.],"Not answered"))*100</f>
        <v>#DIV/0!</v>
      </c>
    </row>
    <row r="63" spans="1:4">
      <c r="A63" s="15" t="str">
        <f>'Validation List'!F15</f>
        <v>Not answered</v>
      </c>
      <c r="B63" s="16">
        <f>COUNTIFS(Table2[Do you hold any of the following cards?],Condition_1,Table2[Please tell us your country of origin.],A63)</f>
        <v>0</v>
      </c>
      <c r="C63" s="17" t="e">
        <f t="shared" si="6"/>
        <v>#DIV/0!</v>
      </c>
      <c r="D63" s="17"/>
    </row>
    <row r="64" spans="1:4">
      <c r="A64" s="15" t="s">
        <v>39</v>
      </c>
      <c r="B64" s="16">
        <f>SUM(B58:B63)</f>
        <v>0</v>
      </c>
      <c r="C64" s="17" t="e">
        <f>SUM(C58:C63)</f>
        <v>#DIV/0!</v>
      </c>
      <c r="D64" s="17" t="e">
        <f>SUM(D58:D63)</f>
        <v>#DIV/0!</v>
      </c>
    </row>
    <row r="65" spans="1:4">
      <c r="A65" s="18"/>
      <c r="B65" s="13"/>
      <c r="C65" s="22"/>
      <c r="D65" s="22"/>
    </row>
    <row r="66" spans="1:4">
      <c r="A66" s="18"/>
      <c r="B66" s="13"/>
      <c r="C66" s="22"/>
      <c r="D66" s="22"/>
    </row>
    <row r="67" spans="1:4">
      <c r="A67" s="47" t="str">
        <f>'Validation List'!G3</f>
        <v>Primary Care Team services attended on day of survey</v>
      </c>
      <c r="B67" s="48"/>
      <c r="C67" s="48"/>
      <c r="D67" s="49"/>
    </row>
    <row r="68" spans="1:4">
      <c r="A68" s="15"/>
      <c r="B68" s="16" t="s">
        <v>37</v>
      </c>
      <c r="C68" s="17" t="s">
        <v>38</v>
      </c>
      <c r="D68" s="17" t="s">
        <v>42</v>
      </c>
    </row>
    <row r="69" spans="1:4">
      <c r="A69" s="15" t="str">
        <f>'Validation List'!G17</f>
        <v>GP</v>
      </c>
      <c r="B69" s="16">
        <f>COUNTIFS(Table2[Do you hold any of the following cards?],Condition_1,Table2[Which of the following primary care team services did you attend today?],A69)</f>
        <v>0</v>
      </c>
      <c r="C69" s="17" t="e">
        <f t="shared" ref="C69" si="7">B69/No_who_answered_survey*100</f>
        <v>#DIV/0!</v>
      </c>
      <c r="D69" s="17" t="e">
        <f>B69/(No_who_answered_survey-COUNTIFS(Table2[Do you hold any of the following cards?],Condition_1,Table2[Which of the following primary care team services did you attend today?],"Not answered"))*100</f>
        <v>#DIV/0!</v>
      </c>
    </row>
    <row r="70" spans="1:4">
      <c r="A70" s="15" t="str">
        <f>'Validation List'!G18</f>
        <v>Practice Nurse</v>
      </c>
      <c r="B70" s="16">
        <f>COUNTIFS(Table2[Do you hold any of the following cards?],Condition_1,Table2[Which of the following primary care team services did you attend today?],A70)</f>
        <v>0</v>
      </c>
      <c r="C70" s="17" t="e">
        <f t="shared" ref="C70:C86" si="8">B70/No_who_answered_survey*100</f>
        <v>#DIV/0!</v>
      </c>
      <c r="D70" s="17" t="e">
        <f>B70/(No_who_answered_survey-COUNTIFS(Table2[Do you hold any of the following cards?],Condition_1,Table2[Which of the following primary care team services did you attend today?],"Not answered"))*100</f>
        <v>#DIV/0!</v>
      </c>
    </row>
    <row r="71" spans="1:4" ht="30">
      <c r="A71" s="15" t="str">
        <f>'Validation List'!G19</f>
        <v>Public Health Nurse or Community Nurse</v>
      </c>
      <c r="B71" s="16">
        <f>COUNTIFS(Table2[Do you hold any of the following cards?],Condition_1,Table2[Which of the following primary care team services did you attend today?],A71)</f>
        <v>0</v>
      </c>
      <c r="C71" s="17" t="e">
        <f t="shared" si="8"/>
        <v>#DIV/0!</v>
      </c>
      <c r="D71" s="17" t="e">
        <f>B71/(No_who_answered_survey-COUNTIFS(Table2[Do you hold any of the following cards?],Condition_1,Table2[Which of the following primary care team services did you attend today?],"Not answered"))*100</f>
        <v>#DIV/0!</v>
      </c>
    </row>
    <row r="72" spans="1:4">
      <c r="A72" s="15" t="str">
        <f>'Validation List'!G20</f>
        <v>Physiotherapist</v>
      </c>
      <c r="B72" s="16">
        <f>COUNTIFS(Table2[Do you hold any of the following cards?],Condition_1,Table2[Which of the following primary care team services did you attend today?],A72)</f>
        <v>0</v>
      </c>
      <c r="C72" s="17" t="e">
        <f t="shared" si="8"/>
        <v>#DIV/0!</v>
      </c>
      <c r="D72" s="17" t="e">
        <f>B72/(No_who_answered_survey-COUNTIFS(Table2[Do you hold any of the following cards?],Condition_1,Table2[Which of the following primary care team services did you attend today?],"Not answered"))*100</f>
        <v>#DIV/0!</v>
      </c>
    </row>
    <row r="73" spans="1:4">
      <c r="A73" s="15" t="str">
        <f>'Validation List'!G21</f>
        <v>Occupational Therapist</v>
      </c>
      <c r="B73" s="16">
        <f>COUNTIFS(Table2[Do you hold any of the following cards?],Condition_1,Table2[Which of the following primary care team services did you attend today?],A73)</f>
        <v>0</v>
      </c>
      <c r="C73" s="17" t="e">
        <f t="shared" si="8"/>
        <v>#DIV/0!</v>
      </c>
      <c r="D73" s="17" t="e">
        <f>B73/(No_who_answered_survey-COUNTIFS(Table2[Do you hold any of the following cards?],Condition_1,Table2[Which of the following primary care team services did you attend today?],"Not answered"))*100</f>
        <v>#DIV/0!</v>
      </c>
    </row>
    <row r="74" spans="1:4">
      <c r="A74" s="15" t="str">
        <f>'Validation List'!G22</f>
        <v>SLT</v>
      </c>
      <c r="B74" s="16">
        <f>COUNTIFS(Table2[Do you hold any of the following cards?],Condition_1,Table2[Which of the following primary care team services did you attend today?],A74)</f>
        <v>0</v>
      </c>
      <c r="C74" s="17" t="e">
        <f t="shared" si="8"/>
        <v>#DIV/0!</v>
      </c>
      <c r="D74" s="17" t="e">
        <f>B74/(No_who_answered_survey-COUNTIFS(Table2[Do you hold any of the following cards?],Condition_1,Table2[Which of the following primary care team services did you attend today?],"Not answered"))*100</f>
        <v>#DIV/0!</v>
      </c>
    </row>
    <row r="75" spans="1:4">
      <c r="A75" s="15" t="str">
        <f>'Validation List'!G23</f>
        <v>Dentist</v>
      </c>
      <c r="B75" s="16">
        <f>COUNTIFS(Table2[Do you hold any of the following cards?],Condition_1,Table2[Which of the following primary care team services did you attend today?],A75)</f>
        <v>0</v>
      </c>
      <c r="C75" s="17" t="e">
        <f t="shared" ref="C75:C81" si="9">B75/No_who_answered_survey*100</f>
        <v>#DIV/0!</v>
      </c>
      <c r="D75" s="17" t="e">
        <f>B75/(No_who_answered_survey-COUNTIFS(Table2[Do you hold any of the following cards?],Condition_1,Table2[Which of the following primary care team services did you attend today?],"Not answered"))*100</f>
        <v>#DIV/0!</v>
      </c>
    </row>
    <row r="76" spans="1:4">
      <c r="A76" s="15" t="str">
        <f>'Validation List'!G24</f>
        <v>Dental Hygienist/ Nurse</v>
      </c>
      <c r="B76" s="16">
        <f>COUNTIFS(Table2[Do you hold any of the following cards?],Condition_1,Table2[Which of the following primary care team services did you attend today?],A76)</f>
        <v>0</v>
      </c>
      <c r="C76" s="17" t="e">
        <f t="shared" si="9"/>
        <v>#DIV/0!</v>
      </c>
      <c r="D76" s="17" t="e">
        <f>B76/(No_who_answered_survey-COUNTIFS(Table2[Do you hold any of the following cards?],Condition_1,Table2[Which of the following primary care team services did you attend today?],"Not answered"))*100</f>
        <v>#DIV/0!</v>
      </c>
    </row>
    <row r="77" spans="1:4">
      <c r="A77" s="15" t="str">
        <f>'Validation List'!G25</f>
        <v>Podiatrist/ Chiropodist</v>
      </c>
      <c r="B77" s="16">
        <f>COUNTIFS(Table2[Do you hold any of the following cards?],Condition_1,Table2[Which of the following primary care team services did you attend today?],A77)</f>
        <v>0</v>
      </c>
      <c r="C77" s="17" t="e">
        <f t="shared" si="9"/>
        <v>#DIV/0!</v>
      </c>
      <c r="D77" s="17" t="e">
        <f>B77/(No_who_answered_survey-COUNTIFS(Table2[Do you hold any of the following cards?],Condition_1,Table2[Which of the following primary care team services did you attend today?],"Not answered"))*100</f>
        <v>#DIV/0!</v>
      </c>
    </row>
    <row r="78" spans="1:4">
      <c r="A78" s="15" t="str">
        <f>'Validation List'!G26</f>
        <v>Dietician</v>
      </c>
      <c r="B78" s="16">
        <f>COUNTIFS(Table2[Do you hold any of the following cards?],Condition_1,Table2[Which of the following primary care team services did you attend today?],A78)</f>
        <v>0</v>
      </c>
      <c r="C78" s="17" t="e">
        <f t="shared" si="9"/>
        <v>#DIV/0!</v>
      </c>
      <c r="D78" s="17" t="e">
        <f>B78/(No_who_answered_survey-COUNTIFS(Table2[Do you hold any of the following cards?],Condition_1,Table2[Which of the following primary care team services did you attend today?],"Not answered"))*100</f>
        <v>#DIV/0!</v>
      </c>
    </row>
    <row r="79" spans="1:4">
      <c r="A79" s="15" t="str">
        <f>'Validation List'!G27</f>
        <v>Psychology</v>
      </c>
      <c r="B79" s="16">
        <f>COUNTIFS(Table2[Do you hold any of the following cards?],Condition_1,Table2[Which of the following primary care team services did you attend today?],A79)</f>
        <v>0</v>
      </c>
      <c r="C79" s="17" t="e">
        <f t="shared" si="9"/>
        <v>#DIV/0!</v>
      </c>
      <c r="D79" s="17" t="e">
        <f>B79/(No_who_answered_survey-COUNTIFS(Table2[Do you hold any of the following cards?],Condition_1,Table2[Which of the following primary care team services did you attend today?],"Not answered"))*100</f>
        <v>#DIV/0!</v>
      </c>
    </row>
    <row r="80" spans="1:4">
      <c r="A80" s="15" t="str">
        <f>'Validation List'!G28</f>
        <v>Orthodontic</v>
      </c>
      <c r="B80" s="16">
        <f>COUNTIFS(Table2[Do you hold any of the following cards?],Condition_1,Table2[Which of the following primary care team services did you attend today?],A80)</f>
        <v>0</v>
      </c>
      <c r="C80" s="17" t="e">
        <f t="shared" si="9"/>
        <v>#DIV/0!</v>
      </c>
      <c r="D80" s="17" t="e">
        <f>B80/(No_who_answered_survey-COUNTIFS(Table2[Do you hold any of the following cards?],Condition_1,Table2[Which of the following primary care team services did you attend today?],"Not answered"))*100</f>
        <v>#DIV/0!</v>
      </c>
    </row>
    <row r="81" spans="1:4">
      <c r="A81" s="15" t="str">
        <f>'Validation List'!G29</f>
        <v>Social Work</v>
      </c>
      <c r="B81" s="16">
        <f>COUNTIFS(Table2[Do you hold any of the following cards?],Condition_1,Table2[Which of the following primary care team services did you attend today?],A81)</f>
        <v>0</v>
      </c>
      <c r="C81" s="17" t="e">
        <f t="shared" si="9"/>
        <v>#DIV/0!</v>
      </c>
      <c r="D81" s="17" t="e">
        <f>B81/(No_who_answered_survey-COUNTIFS(Table2[Do you hold any of the following cards?],Condition_1,Table2[Which of the following primary care team services did you attend today?],"Not answered"))*100</f>
        <v>#DIV/0!</v>
      </c>
    </row>
    <row r="82" spans="1:4">
      <c r="A82" s="15" t="str">
        <f>'Validation List'!G30</f>
        <v>Ophthalmic</v>
      </c>
      <c r="B82" s="16">
        <f>COUNTIFS(Table2[Do you hold any of the following cards?],Condition_1,Table2[Which of the following primary care team services did you attend today?],A82)</f>
        <v>0</v>
      </c>
      <c r="C82" s="17" t="e">
        <f t="shared" ref="C82:C85" si="10">B82/No_who_answered_survey*100</f>
        <v>#DIV/0!</v>
      </c>
      <c r="D82" s="17" t="e">
        <f>B82/(No_who_answered_survey-COUNTIFS(Table2[Do you hold any of the following cards?],Condition_1,Table2[Which of the following primary care team services did you attend today?],"Not answered"))*100</f>
        <v>#DIV/0!</v>
      </c>
    </row>
    <row r="83" spans="1:4">
      <c r="A83" s="15" t="str">
        <f>'Validation List'!G31</f>
        <v>Audiology</v>
      </c>
      <c r="B83" s="16">
        <f>COUNTIFS(Table2[Do you hold any of the following cards?],Condition_1,Table2[Which of the following primary care team services did you attend today?],A83)</f>
        <v>0</v>
      </c>
      <c r="C83" s="17" t="e">
        <f t="shared" si="10"/>
        <v>#DIV/0!</v>
      </c>
      <c r="D83" s="17" t="e">
        <f>B83/(No_who_answered_survey-COUNTIFS(Table2[Do you hold any of the following cards?],Condition_1,Table2[Which of the following primary care team services did you attend today?],"Not answered"))*100</f>
        <v>#DIV/0!</v>
      </c>
    </row>
    <row r="84" spans="1:4">
      <c r="A84" s="15" t="str">
        <f>'Validation List'!G32</f>
        <v>Another service</v>
      </c>
      <c r="B84" s="16">
        <f>COUNTIFS(Table2[Do you hold any of the following cards?],Condition_1,Table2[Which of the following primary care team services did you attend today?],A84)</f>
        <v>0</v>
      </c>
      <c r="C84" s="17" t="e">
        <f t="shared" si="10"/>
        <v>#DIV/0!</v>
      </c>
      <c r="D84" s="17" t="e">
        <f>B84/(No_who_answered_survey-COUNTIFS(Table2[Do you hold any of the following cards?],Condition_1,Table2[Which of the following primary care team services did you attend today?],"Not answered"))*100</f>
        <v>#DIV/0!</v>
      </c>
    </row>
    <row r="85" spans="1:4" ht="30">
      <c r="A85" s="15" t="str">
        <f>'Validation List'!G33</f>
        <v>Attended more than one service</v>
      </c>
      <c r="B85" s="16">
        <f>COUNTIFS(Table2[Do you hold any of the following cards?],Condition_1,Table2[Which of the following primary care team services did you attend today?],A85)</f>
        <v>0</v>
      </c>
      <c r="C85" s="17" t="e">
        <f t="shared" si="10"/>
        <v>#DIV/0!</v>
      </c>
      <c r="D85" s="17" t="e">
        <f>B85/(No_who_answered_survey-COUNTIFS(Table2[Do you hold any of the following cards?],Condition_1,Table2[Which of the following primary care team services did you attend today?],"Not answered"))*100</f>
        <v>#DIV/0!</v>
      </c>
    </row>
    <row r="86" spans="1:4">
      <c r="A86" s="15" t="str">
        <f>'Validation List'!G15</f>
        <v>Not answered</v>
      </c>
      <c r="B86" s="16">
        <f>COUNTIFS(Table2[Do you hold any of the following cards?],Condition_1,Table2[Which of the following primary care team services did you attend today?],A86)</f>
        <v>0</v>
      </c>
      <c r="C86" s="17" t="e">
        <f t="shared" si="8"/>
        <v>#DIV/0!</v>
      </c>
      <c r="D86" s="17"/>
    </row>
    <row r="87" spans="1:4">
      <c r="A87" s="15" t="s">
        <v>39</v>
      </c>
      <c r="B87" s="16">
        <f>SUM(B69:B86)</f>
        <v>0</v>
      </c>
      <c r="C87" s="17" t="e">
        <f>SUM(C69:C86)</f>
        <v>#DIV/0!</v>
      </c>
      <c r="D87" s="17" t="e">
        <f>SUM(D69:D86)</f>
        <v>#DIV/0!</v>
      </c>
    </row>
    <row r="88" spans="1:4">
      <c r="A88" s="18"/>
      <c r="B88" s="13"/>
      <c r="C88" s="22"/>
      <c r="D88" s="22"/>
    </row>
    <row r="89" spans="1:4">
      <c r="A89" s="18"/>
      <c r="B89" s="13"/>
      <c r="C89" s="22"/>
      <c r="D89" s="22"/>
    </row>
    <row r="90" spans="1:4">
      <c r="A90" s="50" t="str">
        <f>'Validation List'!H3</f>
        <v>Patient's experience of accessing the service</v>
      </c>
      <c r="B90" s="50"/>
      <c r="C90" s="50"/>
      <c r="D90" s="51"/>
    </row>
    <row r="91" spans="1:4">
      <c r="A91" s="15"/>
      <c r="B91" s="16" t="s">
        <v>37</v>
      </c>
      <c r="C91" s="17" t="s">
        <v>38</v>
      </c>
      <c r="D91" s="17" t="s">
        <v>42</v>
      </c>
    </row>
    <row r="92" spans="1:4" ht="30">
      <c r="A92" s="15" t="str">
        <f>'Validation List'!H6</f>
        <v>I had no difficulties accessing the service.</v>
      </c>
      <c r="B92" s="16">
        <f>COUNTIFS(Table2[Do you hold any of the following cards?],Condition_1,Table2[Please tell us about your experience accessing the service today?],A92)</f>
        <v>0</v>
      </c>
      <c r="C92" s="17" t="e">
        <f t="shared" ref="C92" si="11">B92/No_who_answered_survey*100</f>
        <v>#DIV/0!</v>
      </c>
      <c r="D92" s="17" t="e">
        <f>B92/(No_who_answered_survey-COUNTIFS(Table2[Do you hold any of the following cards?],Condition_1,Table2[Please tell us about your experience accessing the service today?],"Not answered"))*100</f>
        <v>#DIV/0!</v>
      </c>
    </row>
    <row r="93" spans="1:4" ht="30">
      <c r="A93" s="15" t="str">
        <f>'Validation List'!H7</f>
        <v>The opening times were not suitable.</v>
      </c>
      <c r="B93" s="16">
        <f>COUNTIFS(Table2[Do you hold any of the following cards?],Condition_1,Table2[Please tell us about your experience accessing the service today?],A93)</f>
        <v>0</v>
      </c>
      <c r="C93" s="17" t="e">
        <f t="shared" ref="C93:C99" si="12">B93/No_who_answered_survey*100</f>
        <v>#DIV/0!</v>
      </c>
      <c r="D93" s="17" t="e">
        <f>B93/(No_who_answered_survey-COUNTIFS(Table2[Do you hold any of the following cards?],Condition_1,Table2[Please tell us about your experience accessing the service today?],"Not answered"))*100</f>
        <v>#DIV/0!</v>
      </c>
    </row>
    <row r="94" spans="1:4" ht="45">
      <c r="A94" s="15" t="str">
        <f>'Validation List'!H8</f>
        <v>The waiting times for an appointment were too long.</v>
      </c>
      <c r="B94" s="16">
        <f>COUNTIFS(Table2[Do you hold any of the following cards?],Condition_1,Table2[Please tell us about your experience accessing the service today?],A94)</f>
        <v>0</v>
      </c>
      <c r="C94" s="17" t="e">
        <f t="shared" si="12"/>
        <v>#DIV/0!</v>
      </c>
      <c r="D94" s="17" t="e">
        <f>B94/(No_who_answered_survey-COUNTIFS(Table2[Do you hold any of the following cards?],Condition_1,Table2[Please tell us about your experience accessing the service today?],"Not answered"))*100</f>
        <v>#DIV/0!</v>
      </c>
    </row>
    <row r="95" spans="1:4" ht="60">
      <c r="A95" s="15" t="str">
        <f>'Validation List'!H9</f>
        <v>The service I needed had not been available within the primary care team until now.</v>
      </c>
      <c r="B95" s="16">
        <f>COUNTIFS(Table2[Do you hold any of the following cards?],Condition_1,Table2[Please tell us about your experience accessing the service today?],A95)</f>
        <v>0</v>
      </c>
      <c r="C95" s="17" t="e">
        <f t="shared" si="12"/>
        <v>#DIV/0!</v>
      </c>
      <c r="D95" s="17" t="e">
        <f>B95/(No_who_answered_survey-COUNTIFS(Table2[Do you hold any of the following cards?],Condition_1,Table2[Please tell us about your experience accessing the service today?],"Not answered"))*100</f>
        <v>#DIV/0!</v>
      </c>
    </row>
    <row r="96" spans="1:4" ht="45">
      <c r="A96" s="15" t="str">
        <f>'Validation List'!H10</f>
        <v>I could only get a referral to the service through another service.</v>
      </c>
      <c r="B96" s="16">
        <f>COUNTIFS(Table2[Do you hold any of the following cards?],Condition_1,Table2[Please tell us about your experience accessing the service today?],A96)</f>
        <v>0</v>
      </c>
      <c r="C96" s="17" t="e">
        <f t="shared" si="12"/>
        <v>#DIV/0!</v>
      </c>
      <c r="D96" s="17" t="e">
        <f>B96/(No_who_answered_survey-COUNTIFS(Table2[Do you hold any of the following cards?],Condition_1,Table2[Please tell us about your experience accessing the service today?],"Not answered"))*100</f>
        <v>#DIV/0!</v>
      </c>
    </row>
    <row r="97" spans="1:4">
      <c r="A97" s="15" t="str">
        <f>'Validation List'!H11</f>
        <v>Other difficulty</v>
      </c>
      <c r="B97" s="16">
        <f>COUNTIFS(Table2[Do you hold any of the following cards?],Condition_1,Table2[Please tell us about your experience accessing the service today?],A97)</f>
        <v>0</v>
      </c>
      <c r="C97" s="17" t="e">
        <f t="shared" si="12"/>
        <v>#DIV/0!</v>
      </c>
      <c r="D97" s="17" t="e">
        <f>B97/(No_who_answered_survey-COUNTIFS(Table2[Do you hold any of the following cards?],Condition_1,Table2[Please tell us about your experience accessing the service today?],"Not answered"))*100</f>
        <v>#DIV/0!</v>
      </c>
    </row>
    <row r="98" spans="1:4">
      <c r="A98" s="15" t="str">
        <f>'Validation List'!H12</f>
        <v>More than one difficulty</v>
      </c>
      <c r="B98" s="16">
        <f>COUNTIFS(Table2[Do you hold any of the following cards?],Condition_1,Table2[Please tell us about your experience accessing the service today?],A98)</f>
        <v>0</v>
      </c>
      <c r="C98" s="17" t="e">
        <f t="shared" si="12"/>
        <v>#DIV/0!</v>
      </c>
      <c r="D98" s="17" t="e">
        <f>B98/(No_who_answered_survey-COUNTIFS(Table2[Do you hold any of the following cards?],Condition_1,Table2[Please tell us about your experience accessing the service today?],"Not answered"))*100</f>
        <v>#DIV/0!</v>
      </c>
    </row>
    <row r="99" spans="1:4">
      <c r="A99" s="15" t="str">
        <f>'Validation List'!H15</f>
        <v>Not answered</v>
      </c>
      <c r="B99" s="16">
        <f>COUNTIFS(Table2[Do you hold any of the following cards?],Condition_1,Table2[Please tell us about your experience accessing the service today?],A99)</f>
        <v>0</v>
      </c>
      <c r="C99" s="17" t="e">
        <f t="shared" si="12"/>
        <v>#DIV/0!</v>
      </c>
      <c r="D99" s="17"/>
    </row>
    <row r="100" spans="1:4">
      <c r="A100" s="15" t="s">
        <v>39</v>
      </c>
      <c r="B100" s="16">
        <f>SUM(B92:B99)</f>
        <v>0</v>
      </c>
      <c r="C100" s="17" t="e">
        <f>SUM(C92:C99)</f>
        <v>#DIV/0!</v>
      </c>
      <c r="D100" s="17" t="e">
        <f>SUM(D92:D99)</f>
        <v>#DIV/0!</v>
      </c>
    </row>
    <row r="101" spans="1:4">
      <c r="A101" s="18"/>
      <c r="B101" s="13"/>
      <c r="C101" s="22"/>
      <c r="D101" s="22"/>
    </row>
    <row r="102" spans="1:4">
      <c r="A102" s="18"/>
      <c r="B102" s="13"/>
      <c r="C102" s="22"/>
      <c r="D102" s="22"/>
    </row>
    <row r="103" spans="1:4" ht="27" customHeight="1">
      <c r="A103" s="50" t="str">
        <f>'Validation List'!I3</f>
        <v>Place of patient's appointment</v>
      </c>
      <c r="B103" s="50"/>
      <c r="C103" s="50"/>
      <c r="D103" s="51"/>
    </row>
    <row r="104" spans="1:4">
      <c r="A104" s="15"/>
      <c r="B104" s="16" t="s">
        <v>37</v>
      </c>
      <c r="C104" s="17" t="s">
        <v>38</v>
      </c>
      <c r="D104" s="17" t="s">
        <v>42</v>
      </c>
    </row>
    <row r="105" spans="1:4">
      <c r="A105" s="15" t="str">
        <f>'Validation List'!I6</f>
        <v>Primary Care Health Centre</v>
      </c>
      <c r="B105" s="16">
        <f>COUNTIFS(Table2[Do you hold any of the following cards?],Condition_1,Table2[Where did your appointment take place?],A105)</f>
        <v>0</v>
      </c>
      <c r="C105" s="17" t="e">
        <f t="shared" ref="C105" si="13">B105/No_who_answered_survey*100</f>
        <v>#DIV/0!</v>
      </c>
      <c r="D105" s="17" t="e">
        <f>B105/(No_who_answered_survey-COUNTIFS(Table2[Do you hold any of the following cards?],Condition_1,Table2[Where did your appointment take place?],"Not answered"))*100</f>
        <v>#DIV/0!</v>
      </c>
    </row>
    <row r="106" spans="1:4">
      <c r="A106" s="15" t="str">
        <f>'Validation List'!I7</f>
        <v>GP Surgery</v>
      </c>
      <c r="B106" s="16">
        <f>COUNTIFS(Table2[Do you hold any of the following cards?],Condition_1,Table2[Where did your appointment take place?],A106)</f>
        <v>0</v>
      </c>
      <c r="C106" s="17" t="e">
        <f t="shared" ref="C106:C109" si="14">B106/No_who_answered_survey*100</f>
        <v>#DIV/0!</v>
      </c>
      <c r="D106" s="17" t="e">
        <f>B106/(No_who_answered_survey-COUNTIFS(Table2[Do you hold any of the following cards?],Condition_1,Table2[Where did your appointment take place?],"Not answered"))*100</f>
        <v>#DIV/0!</v>
      </c>
    </row>
    <row r="107" spans="1:4">
      <c r="A107" s="15" t="str">
        <f>'Validation List'!I8</f>
        <v>Patient's Home</v>
      </c>
      <c r="B107" s="16">
        <f>COUNTIFS(Table2[Do you hold any of the following cards?],Condition_1,Table2[Where did your appointment take place?],A107)</f>
        <v>0</v>
      </c>
      <c r="C107" s="17" t="e">
        <f t="shared" si="14"/>
        <v>#DIV/0!</v>
      </c>
      <c r="D107" s="17" t="e">
        <f>B107/(No_who_answered_survey-COUNTIFS(Table2[Do you hold any of the following cards?],Condition_1,Table2[Where did your appointment take place?],"Not answered"))*100</f>
        <v>#DIV/0!</v>
      </c>
    </row>
    <row r="108" spans="1:4">
      <c r="A108" s="15" t="str">
        <f>'Validation List'!I9</f>
        <v>Another location</v>
      </c>
      <c r="B108" s="16">
        <f>COUNTIFS(Table2[Do you hold any of the following cards?],Condition_1,Table2[Where did your appointment take place?],A108)</f>
        <v>0</v>
      </c>
      <c r="C108" s="17" t="e">
        <f t="shared" si="14"/>
        <v>#DIV/0!</v>
      </c>
      <c r="D108" s="17" t="e">
        <f>B108/(No_who_answered_survey-COUNTIFS(Table2[Do you hold any of the following cards?],Condition_1,Table2[Where did your appointment take place?],"Not answered"))*100</f>
        <v>#DIV/0!</v>
      </c>
    </row>
    <row r="109" spans="1:4">
      <c r="A109" s="15" t="str">
        <f>'Validation List'!I15</f>
        <v>Not answered</v>
      </c>
      <c r="B109" s="16">
        <f>COUNTIFS(Table2[Do you hold any of the following cards?],Condition_1,Table2[Where did your appointment take place?],A109)</f>
        <v>0</v>
      </c>
      <c r="C109" s="17" t="e">
        <f t="shared" si="14"/>
        <v>#DIV/0!</v>
      </c>
      <c r="D109" s="17"/>
    </row>
    <row r="110" spans="1:4">
      <c r="A110" s="15" t="s">
        <v>39</v>
      </c>
      <c r="B110" s="16">
        <f>SUM(B105:B109)</f>
        <v>0</v>
      </c>
      <c r="C110" s="17" t="e">
        <f>SUM(C105:C109)</f>
        <v>#DIV/0!</v>
      </c>
      <c r="D110" s="17" t="e">
        <f>SUM(D105:D109)</f>
        <v>#DIV/0!</v>
      </c>
    </row>
    <row r="111" spans="1:4">
      <c r="A111" s="18"/>
      <c r="B111" s="13"/>
      <c r="C111" s="22"/>
      <c r="D111" s="22"/>
    </row>
    <row r="112" spans="1:4">
      <c r="A112" s="18"/>
      <c r="B112" s="13"/>
      <c r="C112" s="22"/>
      <c r="D112" s="22"/>
    </row>
    <row r="113" spans="1:4">
      <c r="A113" s="47" t="str">
        <f>'Validation List'!J3</f>
        <v>Suitability of appointment time</v>
      </c>
      <c r="B113" s="48"/>
      <c r="C113" s="48"/>
      <c r="D113" s="49"/>
    </row>
    <row r="114" spans="1:4">
      <c r="A114" s="15"/>
      <c r="B114" s="16" t="s">
        <v>37</v>
      </c>
      <c r="C114" s="17" t="s">
        <v>38</v>
      </c>
      <c r="D114" s="17" t="s">
        <v>42</v>
      </c>
    </row>
    <row r="115" spans="1:4" ht="45">
      <c r="A115" s="15" t="str">
        <f>'Validation List'!J6</f>
        <v>The appointment time given to me was most suitable.</v>
      </c>
      <c r="B115" s="16">
        <f>COUNTIFS(Table2[Do you hold any of the following cards?],Condition_1,Table2[Tell us about the suitability of your appointment time?],A115)</f>
        <v>0</v>
      </c>
      <c r="C115" s="17" t="e">
        <f t="shared" ref="C115" si="15">B115/No_who_answered_survey*100</f>
        <v>#DIV/0!</v>
      </c>
      <c r="D115" s="17" t="e">
        <f>B115/(No_who_answered_survey-COUNTIFS(Table2[Do you hold any of the following cards?],Condition_1,Table2[Tell us about the suitability of your appointment time?],"Not answered"))*100</f>
        <v>#DIV/0!</v>
      </c>
    </row>
    <row r="116" spans="1:4" ht="45">
      <c r="A116" s="15" t="str">
        <f>'Validation List'!J7</f>
        <v>I would have preferred an appointment time before 9am.</v>
      </c>
      <c r="B116" s="16">
        <f>COUNTIFS(Table2[Do you hold any of the following cards?],Condition_1,Table2[Tell us about the suitability of your appointment time?],A116)</f>
        <v>0</v>
      </c>
      <c r="C116" s="17" t="e">
        <f t="shared" ref="C116:C120" si="16">B116/No_who_answered_survey*100</f>
        <v>#DIV/0!</v>
      </c>
      <c r="D116" s="17" t="e">
        <f>B116/(No_who_answered_survey-COUNTIFS(Table2[Do you hold any of the following cards?],Condition_1,Table2[Tell us about the suitability of your appointment time?],"Not answered"))*100</f>
        <v>#DIV/0!</v>
      </c>
    </row>
    <row r="117" spans="1:4" ht="45">
      <c r="A117" s="15" t="str">
        <f>'Validation List'!J8</f>
        <v>I would have preferred an appointment time from 12pm-1pm.</v>
      </c>
      <c r="B117" s="16">
        <f>COUNTIFS(Table2[Do you hold any of the following cards?],Condition_1,Table2[Tell us about the suitability of your appointment time?],A117)</f>
        <v>0</v>
      </c>
      <c r="C117" s="17" t="e">
        <f t="shared" si="16"/>
        <v>#DIV/0!</v>
      </c>
      <c r="D117" s="17" t="e">
        <f>B117/(No_who_answered_survey-COUNTIFS(Table2[Do you hold any of the following cards?],Condition_1,Table2[Tell us about the suitability of your appointment time?],"Not answered"))*100</f>
        <v>#DIV/0!</v>
      </c>
    </row>
    <row r="118" spans="1:4" ht="45">
      <c r="A118" s="15" t="str">
        <f>'Validation List'!J9</f>
        <v>I would have preferred an appointment time from 1pm-2pm.</v>
      </c>
      <c r="B118" s="16">
        <f>COUNTIFS(Table2[Do you hold any of the following cards?],Condition_1,Table2[Tell us about the suitability of your appointment time?],A118)</f>
        <v>0</v>
      </c>
      <c r="C118" s="17" t="e">
        <f t="shared" si="16"/>
        <v>#DIV/0!</v>
      </c>
      <c r="D118" s="17" t="e">
        <f>B118/(No_who_answered_survey-COUNTIFS(Table2[Do you hold any of the following cards?],Condition_1,Table2[Tell us about the suitability of your appointment time?],"Not answered"))*100</f>
        <v>#DIV/0!</v>
      </c>
    </row>
    <row r="119" spans="1:4" ht="45">
      <c r="A119" s="15" t="str">
        <f>'Validation List'!J10</f>
        <v>I would have preferred an appointment time after 5pm.</v>
      </c>
      <c r="B119" s="16">
        <f>COUNTIFS(Table2[Do you hold any of the following cards?],Condition_1,Table2[Tell us about the suitability of your appointment time?],A119)</f>
        <v>0</v>
      </c>
      <c r="C119" s="17" t="e">
        <f t="shared" si="16"/>
        <v>#DIV/0!</v>
      </c>
      <c r="D119" s="17" t="e">
        <f>B119/(No_who_answered_survey-COUNTIFS(Table2[Do you hold any of the following cards?],Condition_1,Table2[Tell us about the suitability of your appointment time?],"Not answered"))*100</f>
        <v>#DIV/0!</v>
      </c>
    </row>
    <row r="120" spans="1:4">
      <c r="A120" s="15" t="str">
        <f>'Validation List'!J15</f>
        <v>Not answered</v>
      </c>
      <c r="B120" s="16">
        <f>COUNTIFS(Table2[Do you hold any of the following cards?],Condition_1,Table2[Tell us about the suitability of your appointment time?],A120)</f>
        <v>0</v>
      </c>
      <c r="C120" s="17" t="e">
        <f t="shared" si="16"/>
        <v>#DIV/0!</v>
      </c>
      <c r="D120" s="17"/>
    </row>
    <row r="121" spans="1:4">
      <c r="A121" s="15" t="s">
        <v>39</v>
      </c>
      <c r="B121" s="16">
        <f>SUM(B115:B120)</f>
        <v>0</v>
      </c>
      <c r="C121" s="17" t="e">
        <f>SUM(C115:C120)</f>
        <v>#DIV/0!</v>
      </c>
      <c r="D121" s="17" t="e">
        <f>SUM(D115:D120)</f>
        <v>#DIV/0!</v>
      </c>
    </row>
    <row r="122" spans="1:4">
      <c r="A122" s="18"/>
      <c r="B122" s="13"/>
      <c r="C122" s="22"/>
      <c r="D122" s="22"/>
    </row>
    <row r="123" spans="1:4">
      <c r="A123" s="18"/>
      <c r="B123" s="13"/>
      <c r="C123" s="22"/>
      <c r="D123" s="22"/>
    </row>
    <row r="124" spans="1:4" ht="27" customHeight="1">
      <c r="A124" s="47" t="str">
        <f>'Validation List'!K3</f>
        <v>Ease of access and use of the building during visit</v>
      </c>
      <c r="B124" s="48"/>
      <c r="C124" s="48"/>
      <c r="D124" s="49"/>
    </row>
    <row r="125" spans="1:4">
      <c r="A125" s="15"/>
      <c r="B125" s="16" t="s">
        <v>37</v>
      </c>
      <c r="C125" s="17" t="s">
        <v>38</v>
      </c>
      <c r="D125" s="17" t="s">
        <v>42</v>
      </c>
    </row>
    <row r="126" spans="1:4">
      <c r="A126" s="15" t="str">
        <f>'Validation List'!K6</f>
        <v>Very easy</v>
      </c>
      <c r="B126" s="16">
        <f>COUNTIFS(Table2[Do you hold any of the following cards?],Condition_1,Table2[How easy was it for you to access and use the building during your visit?],A126)</f>
        <v>0</v>
      </c>
      <c r="C126" s="17" t="e">
        <f t="shared" ref="C126" si="17">B126/No_who_answered_survey*100</f>
        <v>#DIV/0!</v>
      </c>
      <c r="D126" s="17" t="e">
        <f>B126/(No_who_answered_survey-COUNTIFS(Table2[Do you hold any of the following cards?],Condition_1,Table2[How easy was it for you to access and use the building during your visit?],"Not answered")-COUNTIFS(Table2[Do you hold any of the following cards?],Condition_1,Table2[How easy was it for you to access and use the building during your visit?],"N/A"))*100</f>
        <v>#DIV/0!</v>
      </c>
    </row>
    <row r="127" spans="1:4">
      <c r="A127" s="15" t="str">
        <f>'Validation List'!K7</f>
        <v>Easy</v>
      </c>
      <c r="B127" s="16">
        <f>COUNTIFS(Table2[Do you hold any of the following cards?],Condition_1,Table2[How easy was it for you to access and use the building during your visit?],A127)</f>
        <v>0</v>
      </c>
      <c r="C127" s="17" t="e">
        <f t="shared" ref="C127:C131" si="18">B127/No_who_answered_survey*100</f>
        <v>#DIV/0!</v>
      </c>
      <c r="D127" s="17" t="e">
        <f>B127/(No_who_answered_survey-COUNTIFS(Table2[Do you hold any of the following cards?],Condition_1,Table2[How easy was it for you to access and use the building during your visit?],"Not answered")-COUNTIFS(Table2[Do you hold any of the following cards?],Condition_1,Table2[How easy was it for you to access and use the building during your visit?],"N/A"))*100</f>
        <v>#DIV/0!</v>
      </c>
    </row>
    <row r="128" spans="1:4">
      <c r="A128" s="15" t="str">
        <f>'Validation List'!K8</f>
        <v>Difficult</v>
      </c>
      <c r="B128" s="16">
        <f>COUNTIFS(Table2[Do you hold any of the following cards?],Condition_1,Table2[How easy was it for you to access and use the building during your visit?],A128)</f>
        <v>0</v>
      </c>
      <c r="C128" s="17" t="e">
        <f t="shared" si="18"/>
        <v>#DIV/0!</v>
      </c>
      <c r="D128" s="17" t="e">
        <f>B128/(No_who_answered_survey-COUNTIFS(Table2[Do you hold any of the following cards?],Condition_1,Table2[How easy was it for you to access and use the building during your visit?],"Not answered")-COUNTIFS(Table2[Do you hold any of the following cards?],Condition_1,Table2[How easy was it for you to access and use the building during your visit?],"N/A"))*100</f>
        <v>#DIV/0!</v>
      </c>
    </row>
    <row r="129" spans="1:4">
      <c r="A129" s="15" t="str">
        <f>'Validation List'!K9</f>
        <v>Very difficult</v>
      </c>
      <c r="B129" s="16">
        <f>COUNTIFS(Table2[Do you hold any of the following cards?],Condition_1,Table2[How easy was it for you to access and use the building during your visit?],A129)</f>
        <v>0</v>
      </c>
      <c r="C129" s="17" t="e">
        <f t="shared" si="18"/>
        <v>#DIV/0!</v>
      </c>
      <c r="D129" s="17" t="e">
        <f>B129/(No_who_answered_survey-COUNTIFS(Table2[Do you hold any of the following cards?],Condition_1,Table2[How easy was it for you to access and use the building during your visit?],"Not answered")-COUNTIFS(Table2[Do you hold any of the following cards?],Condition_1,Table2[How easy was it for you to access and use the building during your visit?],"N/A"))*100</f>
        <v>#DIV/0!</v>
      </c>
    </row>
    <row r="130" spans="1:4">
      <c r="A130" s="15" t="str">
        <f>'Validation List'!K10</f>
        <v>N/A</v>
      </c>
      <c r="B130" s="16">
        <f>COUNTIFS(Table2[Do you hold any of the following cards?],Condition_1,Table2[How easy was it for you to access and use the building during your visit?],A130)</f>
        <v>0</v>
      </c>
      <c r="C130" s="17" t="e">
        <f t="shared" si="18"/>
        <v>#DIV/0!</v>
      </c>
      <c r="D130" s="17"/>
    </row>
    <row r="131" spans="1:4">
      <c r="A131" s="15" t="str">
        <f>'Validation List'!K15</f>
        <v>Not answered</v>
      </c>
      <c r="B131" s="16">
        <f>COUNTIFS(Table2[Do you hold any of the following cards?],Condition_1,Table2[How easy was it for you to access and use the building during your visit?],A131)</f>
        <v>0</v>
      </c>
      <c r="C131" s="17" t="e">
        <f t="shared" si="18"/>
        <v>#DIV/0!</v>
      </c>
      <c r="D131" s="17"/>
    </row>
    <row r="132" spans="1:4">
      <c r="A132" s="15" t="s">
        <v>39</v>
      </c>
      <c r="B132" s="16">
        <f>SUM(B126:B131)</f>
        <v>0</v>
      </c>
      <c r="C132" s="17" t="e">
        <f>SUM(C126:C131)</f>
        <v>#DIV/0!</v>
      </c>
      <c r="D132" s="17" t="e">
        <f>SUM(D126:D131)</f>
        <v>#DIV/0!</v>
      </c>
    </row>
    <row r="133" spans="1:4">
      <c r="A133" s="18"/>
      <c r="B133" s="13"/>
      <c r="C133" s="22"/>
      <c r="D133" s="22"/>
    </row>
    <row r="134" spans="1:4">
      <c r="A134" s="18"/>
      <c r="B134" s="13"/>
      <c r="C134" s="22"/>
      <c r="D134" s="22"/>
    </row>
    <row r="135" spans="1:4">
      <c r="A135" s="50" t="str">
        <f>'Validation List'!L3</f>
        <v>Buildings and facilities cleanliness and tidiness</v>
      </c>
      <c r="B135" s="50"/>
      <c r="C135" s="50"/>
      <c r="D135" s="51"/>
    </row>
    <row r="136" spans="1:4">
      <c r="A136" s="15"/>
      <c r="B136" s="16" t="s">
        <v>37</v>
      </c>
      <c r="C136" s="17" t="s">
        <v>38</v>
      </c>
      <c r="D136" s="17" t="s">
        <v>42</v>
      </c>
    </row>
    <row r="137" spans="1:4">
      <c r="A137" s="15" t="str">
        <f>'Validation List'!L6</f>
        <v>Yes</v>
      </c>
      <c r="B137" s="16">
        <f>COUNTIFS(Table2[Do you hold any of the following cards?],Condition_1,Table2[Were the buildings and facilities clean and tidy?],A137)</f>
        <v>0</v>
      </c>
      <c r="C137" s="17" t="e">
        <f t="shared" ref="C137" si="19">B137/No_who_answered_survey*100</f>
        <v>#DIV/0!</v>
      </c>
      <c r="D137" s="17" t="e">
        <f>B137/(No_who_answered_survey-COUNTIFS(Table2[Do you hold any of the following cards?],Condition_1,Table2[Were the buildings and facilities clean and tidy?],"Not answered")-COUNTIFS(Table2[Do you hold any of the following cards?],Condition_1,Table2[Were the buildings and facilities clean and tidy?],"N/A"))*100</f>
        <v>#DIV/0!</v>
      </c>
    </row>
    <row r="138" spans="1:4">
      <c r="A138" s="15" t="str">
        <f>'Validation List'!L7</f>
        <v>No</v>
      </c>
      <c r="B138" s="16">
        <f>COUNTIFS(Table2[Do you hold any of the following cards?],Condition_1,Table2[Were the buildings and facilities clean and tidy?],A138)</f>
        <v>0</v>
      </c>
      <c r="C138" s="17" t="e">
        <f t="shared" ref="C138:C140" si="20">B138/No_who_answered_survey*100</f>
        <v>#DIV/0!</v>
      </c>
      <c r="D138" s="17" t="e">
        <f>B138/(No_who_answered_survey-COUNTIFS(Table2[Do you hold any of the following cards?],Condition_1,Table2[Were the buildings and facilities clean and tidy?],"Not answered")-COUNTIFS(Table2[Do you hold any of the following cards?],Condition_1,Table2[Were the buildings and facilities clean and tidy?],"N/A"))*100</f>
        <v>#DIV/0!</v>
      </c>
    </row>
    <row r="139" spans="1:4">
      <c r="A139" s="15" t="str">
        <f>'Validation List'!L8</f>
        <v>N/A</v>
      </c>
      <c r="B139" s="16">
        <f>COUNTIFS(Table2[Do you hold any of the following cards?],Condition_1,Table2[Were the buildings and facilities clean and tidy?],A139)</f>
        <v>0</v>
      </c>
      <c r="C139" s="17" t="e">
        <f t="shared" si="20"/>
        <v>#DIV/0!</v>
      </c>
      <c r="D139" s="17"/>
    </row>
    <row r="140" spans="1:4">
      <c r="A140" s="15" t="str">
        <f>'Validation List'!L15</f>
        <v>Not answered</v>
      </c>
      <c r="B140" s="16">
        <f>COUNTIFS(Table2[Do you hold any of the following cards?],Condition_1,Table2[Were the buildings and facilities clean and tidy?],A140)</f>
        <v>0</v>
      </c>
      <c r="C140" s="17" t="e">
        <f t="shared" si="20"/>
        <v>#DIV/0!</v>
      </c>
      <c r="D140" s="17"/>
    </row>
    <row r="141" spans="1:4">
      <c r="A141" s="15" t="s">
        <v>39</v>
      </c>
      <c r="B141" s="16">
        <f>SUM(B137:B140)</f>
        <v>0</v>
      </c>
      <c r="C141" s="17" t="e">
        <f>SUM(C137:C140)</f>
        <v>#DIV/0!</v>
      </c>
      <c r="D141" s="17" t="e">
        <f>SUM(D137:D140)</f>
        <v>#DIV/0!</v>
      </c>
    </row>
    <row r="142" spans="1:4">
      <c r="A142" s="18"/>
      <c r="B142" s="13"/>
      <c r="C142" s="22"/>
      <c r="D142" s="22"/>
    </row>
    <row r="143" spans="1:4">
      <c r="A143" s="18"/>
      <c r="B143" s="13"/>
      <c r="C143" s="22"/>
      <c r="D143" s="22"/>
    </row>
    <row r="144" spans="1:4" ht="26.25" customHeight="1">
      <c r="A144" s="50" t="str">
        <f>'Validation List'!M3</f>
        <v>Time waiting to see the healthcare professional on day of survey</v>
      </c>
      <c r="B144" s="50"/>
      <c r="C144" s="50"/>
      <c r="D144" s="51"/>
    </row>
    <row r="145" spans="1:4">
      <c r="A145" s="15"/>
      <c r="B145" s="16" t="s">
        <v>37</v>
      </c>
      <c r="C145" s="17" t="s">
        <v>38</v>
      </c>
      <c r="D145" s="17" t="s">
        <v>42</v>
      </c>
    </row>
    <row r="146" spans="1:4">
      <c r="A146" s="15" t="str">
        <f>'Validation List'!M6</f>
        <v>Less than 15 minutes</v>
      </c>
      <c r="B146" s="16">
        <f>COUNTIFS(Table2[Do you hold any of the following cards?],Condition_1,Table2[How long did you spend waiting to see the healthcare professional today?],A146)</f>
        <v>0</v>
      </c>
      <c r="C146" s="17" t="e">
        <f t="shared" ref="C146" si="21">B146/No_who_answered_survey*100</f>
        <v>#DIV/0!</v>
      </c>
      <c r="D146" s="17" t="e">
        <f>B146/(No_who_answered_survey-COUNTIFS(Table2[Do you hold any of the following cards?],Condition_1,Table2[How long did you spend waiting to see the healthcare professional today?],"Not answered"))*100</f>
        <v>#DIV/0!</v>
      </c>
    </row>
    <row r="147" spans="1:4">
      <c r="A147" s="15" t="str">
        <f>'Validation List'!M7</f>
        <v>15 to 30 minutes</v>
      </c>
      <c r="B147" s="16">
        <f>COUNTIFS(Table2[Do you hold any of the following cards?],Condition_1,Table2[How long did you spend waiting to see the healthcare professional today?],A147)</f>
        <v>0</v>
      </c>
      <c r="C147" s="17" t="e">
        <f t="shared" ref="C147:C150" si="22">B147/No_who_answered_survey*100</f>
        <v>#DIV/0!</v>
      </c>
      <c r="D147" s="17" t="e">
        <f>B147/(No_who_answered_survey-COUNTIFS(Table2[Do you hold any of the following cards?],Condition_1,Table2[How long did you spend waiting to see the healthcare professional today?],"Not answered"))*100</f>
        <v>#DIV/0!</v>
      </c>
    </row>
    <row r="148" spans="1:4">
      <c r="A148" s="15" t="str">
        <f>'Validation List'!M8</f>
        <v>31 to 45 minutes</v>
      </c>
      <c r="B148" s="16">
        <f>COUNTIFS(Table2[Do you hold any of the following cards?],Condition_1,Table2[How long did you spend waiting to see the healthcare professional today?],A148)</f>
        <v>0</v>
      </c>
      <c r="C148" s="17" t="e">
        <f t="shared" si="22"/>
        <v>#DIV/0!</v>
      </c>
      <c r="D148" s="17" t="e">
        <f>B148/(No_who_answered_survey-COUNTIFS(Table2[Do you hold any of the following cards?],Condition_1,Table2[How long did you spend waiting to see the healthcare professional today?],"Not answered"))*100</f>
        <v>#DIV/0!</v>
      </c>
    </row>
    <row r="149" spans="1:4">
      <c r="A149" s="15" t="str">
        <f>'Validation List'!M9</f>
        <v>Over 45 minutes</v>
      </c>
      <c r="B149" s="16">
        <f>COUNTIFS(Table2[Do you hold any of the following cards?],Condition_1,Table2[How long did you spend waiting to see the healthcare professional today?],A149)</f>
        <v>0</v>
      </c>
      <c r="C149" s="17" t="e">
        <f t="shared" si="22"/>
        <v>#DIV/0!</v>
      </c>
      <c r="D149" s="17" t="e">
        <f>B149/(No_who_answered_survey-COUNTIFS(Table2[Do you hold any of the following cards?],Condition_1,Table2[How long did you spend waiting to see the healthcare professional today?],"Not answered"))*100</f>
        <v>#DIV/0!</v>
      </c>
    </row>
    <row r="150" spans="1:4">
      <c r="A150" s="15" t="str">
        <f>'Validation List'!M15</f>
        <v>Not answered</v>
      </c>
      <c r="B150" s="16">
        <f>COUNTIFS(Table2[Do you hold any of the following cards?],Condition_1,Table2[How long did you spend waiting to see the healthcare professional today?],A150)</f>
        <v>0</v>
      </c>
      <c r="C150" s="17" t="e">
        <f t="shared" si="22"/>
        <v>#DIV/0!</v>
      </c>
      <c r="D150" s="17"/>
    </row>
    <row r="151" spans="1:4">
      <c r="A151" s="15" t="s">
        <v>39</v>
      </c>
      <c r="B151" s="16">
        <f>SUM(B146:B150)</f>
        <v>0</v>
      </c>
      <c r="C151" s="17" t="e">
        <f>SUM(C146:C150)</f>
        <v>#DIV/0!</v>
      </c>
      <c r="D151" s="17" t="e">
        <f>SUM(D146:D150)</f>
        <v>#DIV/0!</v>
      </c>
    </row>
    <row r="152" spans="1:4">
      <c r="A152" s="18"/>
      <c r="B152" s="13"/>
      <c r="C152" s="22"/>
      <c r="D152" s="22"/>
    </row>
    <row r="153" spans="1:4">
      <c r="A153" s="18"/>
      <c r="B153" s="13"/>
      <c r="C153" s="22"/>
      <c r="D153" s="22"/>
    </row>
    <row r="154" spans="1:4">
      <c r="A154" s="50" t="str">
        <f>'Validation List'!N3</f>
        <v>Healthcare professional washed or cleaned their hands prior to patient contact</v>
      </c>
      <c r="B154" s="50"/>
      <c r="C154" s="50"/>
      <c r="D154" s="51"/>
    </row>
    <row r="155" spans="1:4">
      <c r="A155" s="15"/>
      <c r="B155" s="16" t="s">
        <v>37</v>
      </c>
      <c r="C155" s="17" t="s">
        <v>38</v>
      </c>
      <c r="D155" s="17" t="s">
        <v>42</v>
      </c>
    </row>
    <row r="156" spans="1:4">
      <c r="A156" s="15" t="str">
        <f>'Validation List'!N6</f>
        <v>Yes</v>
      </c>
      <c r="B156" s="16">
        <f>COUNTIFS(Table2[Do you hold any of the following cards?],Condition_1,Table2[Did the healthcare professional wash or clean their hands when coming into contact with you?],A156)</f>
        <v>0</v>
      </c>
      <c r="C156" s="17" t="e">
        <f t="shared" ref="C156:C159" si="23">B156/No_who_answered_survey*100</f>
        <v>#DIV/0!</v>
      </c>
      <c r="D156" s="17" t="e">
        <f>B156/(No_who_answered_survey)*100</f>
        <v>#DIV/0!</v>
      </c>
    </row>
    <row r="157" spans="1:4">
      <c r="A157" s="15" t="str">
        <f>'Validation List'!N7</f>
        <v>No</v>
      </c>
      <c r="B157" s="16">
        <f>COUNTIFS(Table2[Do you hold any of the following cards?],Condition_1,Table2[Did the healthcare professional wash or clean their hands when coming into contact with you?],A157)</f>
        <v>0</v>
      </c>
      <c r="C157" s="17" t="e">
        <f t="shared" si="23"/>
        <v>#DIV/0!</v>
      </c>
      <c r="D157" s="17" t="e">
        <f>B157/(No_who_answered_survey)*100</f>
        <v>#DIV/0!</v>
      </c>
    </row>
    <row r="158" spans="1:4">
      <c r="A158" s="15" t="str">
        <f>'Validation List'!N8</f>
        <v>Can't recall</v>
      </c>
      <c r="B158" s="16">
        <f>COUNTIFS(Table2[Do you hold any of the following cards?],Condition_1,Table2[Did the healthcare professional wash or clean their hands when coming into contact with you?],A158)</f>
        <v>0</v>
      </c>
      <c r="C158" s="17" t="e">
        <f t="shared" si="23"/>
        <v>#DIV/0!</v>
      </c>
      <c r="D158" s="17" t="e">
        <f>B158/(No_who_answered_survey)*100</f>
        <v>#DIV/0!</v>
      </c>
    </row>
    <row r="159" spans="1:4">
      <c r="A159" s="15" t="str">
        <f>'Validation List'!N15</f>
        <v>Not answered</v>
      </c>
      <c r="B159" s="16">
        <f>COUNTIFS(Table2[Do you hold any of the following cards?],Condition_1,Table2[Did the healthcare professional wash or clean their hands when coming into contact with you?],A159)</f>
        <v>0</v>
      </c>
      <c r="C159" s="17" t="e">
        <f t="shared" si="23"/>
        <v>#DIV/0!</v>
      </c>
      <c r="D159" s="17"/>
    </row>
    <row r="160" spans="1:4">
      <c r="A160" s="15" t="s">
        <v>39</v>
      </c>
      <c r="B160" s="16">
        <f>SUM(B156:B159)</f>
        <v>0</v>
      </c>
      <c r="C160" s="17" t="e">
        <f>SUM(C156:C159)</f>
        <v>#DIV/0!</v>
      </c>
      <c r="D160" s="17" t="e">
        <f>SUM(D156:D159)</f>
        <v>#DIV/0!</v>
      </c>
    </row>
    <row r="161" spans="1:4">
      <c r="A161" s="18"/>
      <c r="B161" s="13"/>
      <c r="C161" s="22"/>
      <c r="D161" s="22"/>
    </row>
    <row r="162" spans="1:4">
      <c r="A162" s="18"/>
      <c r="B162" s="13"/>
      <c r="C162" s="22"/>
      <c r="D162" s="22"/>
    </row>
    <row r="163" spans="1:4">
      <c r="A163" s="50" t="str">
        <f>'Validation List'!O3</f>
        <v>Healthcare professional introduced themselves to patient</v>
      </c>
      <c r="B163" s="50"/>
      <c r="C163" s="50"/>
      <c r="D163" s="51"/>
    </row>
    <row r="164" spans="1:4">
      <c r="A164" s="15"/>
      <c r="B164" s="16" t="s">
        <v>37</v>
      </c>
      <c r="C164" s="17" t="s">
        <v>38</v>
      </c>
      <c r="D164" s="17" t="s">
        <v>42</v>
      </c>
    </row>
    <row r="165" spans="1:4">
      <c r="A165" s="15" t="str">
        <f>'Validation List'!O6</f>
        <v>Yes</v>
      </c>
      <c r="B165" s="16">
        <f>COUNTIFS(Table2[Do you hold any of the following cards?],Condition_1,Table2[Did the healthcare professional introduce themselves to you?],A165)</f>
        <v>0</v>
      </c>
      <c r="C165" s="17" t="e">
        <f t="shared" ref="C165:C168" si="24">B165/No_who_answered_survey*100</f>
        <v>#DIV/0!</v>
      </c>
      <c r="D165" s="17" t="e">
        <f>B165/(No_who_answered_survey-COUNTIFS(Table2[Do you hold any of the following cards?],Condition_1,Table2[Did the healthcare professional introduce themselves to you?],"Not answered"))*100</f>
        <v>#DIV/0!</v>
      </c>
    </row>
    <row r="166" spans="1:4">
      <c r="A166" s="15" t="str">
        <f>'Validation List'!O7</f>
        <v>No</v>
      </c>
      <c r="B166" s="16">
        <f>COUNTIFS(Table2[Do you hold any of the following cards?],Condition_1,Table2[Did the healthcare professional introduce themselves to you?],A166)</f>
        <v>0</v>
      </c>
      <c r="C166" s="17" t="e">
        <f t="shared" si="24"/>
        <v>#DIV/0!</v>
      </c>
      <c r="D166" s="17" t="e">
        <f>B166/(No_who_answered_survey-COUNTIFS(Table2[Do you hold any of the following cards?],Condition_1,Table2[Did the healthcare professional introduce themselves to you?],"Not answered"))*100</f>
        <v>#DIV/0!</v>
      </c>
    </row>
    <row r="167" spans="1:4">
      <c r="A167" s="15" t="str">
        <f>'Validation List'!O8</f>
        <v>Already known to me</v>
      </c>
      <c r="B167" s="16">
        <f>COUNTIFS(Table2[Do you hold any of the following cards?],Condition_1,Table2[Did the healthcare professional introduce themselves to you?],A167)</f>
        <v>0</v>
      </c>
      <c r="C167" s="17" t="e">
        <f t="shared" si="24"/>
        <v>#DIV/0!</v>
      </c>
      <c r="D167" s="17" t="e">
        <f>B167/(No_who_answered_survey-COUNTIFS(Table2[Do you hold any of the following cards?],Condition_1,Table2[Did the healthcare professional introduce themselves to you?],"Not answered"))*100</f>
        <v>#DIV/0!</v>
      </c>
    </row>
    <row r="168" spans="1:4">
      <c r="A168" s="15" t="str">
        <f>'Validation List'!O15</f>
        <v>Not answered</v>
      </c>
      <c r="B168" s="16">
        <f>COUNTIFS(Table2[Do you hold any of the following cards?],Condition_1,Table2[Did the healthcare professional introduce themselves to you?],A168)</f>
        <v>0</v>
      </c>
      <c r="C168" s="17" t="e">
        <f t="shared" si="24"/>
        <v>#DIV/0!</v>
      </c>
      <c r="D168" s="17"/>
    </row>
    <row r="169" spans="1:4">
      <c r="A169" s="15" t="s">
        <v>39</v>
      </c>
      <c r="B169" s="16">
        <f>SUM(B165:B168)</f>
        <v>0</v>
      </c>
      <c r="C169" s="17" t="e">
        <f>SUM(C165:C168)</f>
        <v>#DIV/0!</v>
      </c>
      <c r="D169" s="17" t="e">
        <f>SUM(D165:D168)</f>
        <v>#DIV/0!</v>
      </c>
    </row>
    <row r="170" spans="1:4">
      <c r="A170" s="18"/>
      <c r="B170" s="13"/>
      <c r="C170" s="22"/>
      <c r="D170" s="22"/>
    </row>
    <row r="171" spans="1:4">
      <c r="A171" s="18"/>
      <c r="B171" s="13"/>
      <c r="C171" s="22"/>
      <c r="D171" s="22"/>
    </row>
    <row r="172" spans="1:4" ht="27" customHeight="1">
      <c r="A172" s="50" t="str">
        <f>'Validation List'!P3</f>
        <v>Patient felt treated with kindness and respect during visit</v>
      </c>
      <c r="B172" s="50"/>
      <c r="C172" s="50"/>
      <c r="D172" s="51"/>
    </row>
    <row r="173" spans="1:4">
      <c r="A173" s="15"/>
      <c r="B173" s="16" t="s">
        <v>37</v>
      </c>
      <c r="C173" s="17" t="s">
        <v>38</v>
      </c>
      <c r="D173" s="17" t="s">
        <v>42</v>
      </c>
    </row>
    <row r="174" spans="1:4">
      <c r="A174" s="15" t="str">
        <f>'Validation List'!P6</f>
        <v>Yes</v>
      </c>
      <c r="B174" s="16">
        <f>COUNTIFS(Table2[Do you hold any of the following cards?],Condition_1,Table2[Were you treated with kindness and respect during your visit?],A174)</f>
        <v>0</v>
      </c>
      <c r="C174" s="17" t="e">
        <f t="shared" ref="C174:C176" si="25">B174/No_who_answered_survey*100</f>
        <v>#DIV/0!</v>
      </c>
      <c r="D174" s="17" t="e">
        <f>B174/(No_who_answered_survey-COUNTIFS(Table2[Do you hold any of the following cards?],Condition_1,Table2[Were you treated with kindness and respect during your visit?],"Not answered"))*100</f>
        <v>#DIV/0!</v>
      </c>
    </row>
    <row r="175" spans="1:4">
      <c r="A175" s="15" t="str">
        <f>'Validation List'!P7</f>
        <v>No</v>
      </c>
      <c r="B175" s="16">
        <f>COUNTIFS(Table2[Do you hold any of the following cards?],Condition_1,Table2[Were you treated with kindness and respect during your visit?],A175)</f>
        <v>0</v>
      </c>
      <c r="C175" s="17" t="e">
        <f t="shared" si="25"/>
        <v>#DIV/0!</v>
      </c>
      <c r="D175" s="17" t="e">
        <f>B175/(No_who_answered_survey-COUNTIFS(Table2[Do you hold any of the following cards?],Condition_1,Table2[Were you treated with kindness and respect during your visit?],"Not answered"))*100</f>
        <v>#DIV/0!</v>
      </c>
    </row>
    <row r="176" spans="1:4">
      <c r="A176" s="15" t="str">
        <f>'Validation List'!P15</f>
        <v>Not answered</v>
      </c>
      <c r="B176" s="16">
        <f>COUNTIFS(Table2[Do you hold any of the following cards?],Condition_1,Table2[Were you treated with kindness and respect during your visit?],A176)</f>
        <v>0</v>
      </c>
      <c r="C176" s="17" t="e">
        <f t="shared" si="25"/>
        <v>#DIV/0!</v>
      </c>
      <c r="D176" s="17"/>
    </row>
    <row r="177" spans="1:4">
      <c r="A177" s="15" t="s">
        <v>39</v>
      </c>
      <c r="B177" s="16">
        <f>SUM(B174:B176)</f>
        <v>0</v>
      </c>
      <c r="C177" s="17" t="e">
        <f>SUM(C174:C176)</f>
        <v>#DIV/0!</v>
      </c>
      <c r="D177" s="17" t="e">
        <f>SUM(D174:D176)</f>
        <v>#DIV/0!</v>
      </c>
    </row>
    <row r="178" spans="1:4">
      <c r="A178" s="18"/>
      <c r="B178" s="13"/>
      <c r="C178" s="22"/>
      <c r="D178" s="22"/>
    </row>
    <row r="179" spans="1:4">
      <c r="A179" s="18"/>
      <c r="B179" s="13"/>
      <c r="C179" s="22"/>
      <c r="D179" s="22"/>
    </row>
    <row r="180" spans="1:4" ht="20.25" customHeight="1">
      <c r="A180" s="47" t="str">
        <f>'Validation List'!Q3</f>
        <v>Satisfaction with the level of privacy provided during appointment</v>
      </c>
      <c r="B180" s="48"/>
      <c r="C180" s="48"/>
      <c r="D180" s="49"/>
    </row>
    <row r="181" spans="1:4">
      <c r="A181" s="15"/>
      <c r="B181" s="16" t="s">
        <v>37</v>
      </c>
      <c r="C181" s="17" t="s">
        <v>38</v>
      </c>
      <c r="D181" s="17" t="s">
        <v>42</v>
      </c>
    </row>
    <row r="182" spans="1:4">
      <c r="A182" s="15" t="str">
        <f>'Validation List'!Q6</f>
        <v>Yes</v>
      </c>
      <c r="B182" s="16">
        <f>COUNTIFS(Table2[Do you hold any of the following cards?],Condition_1,Table2[Were you satisfied with the level of privacy provided to you during your appointment?],A182)</f>
        <v>0</v>
      </c>
      <c r="C182" s="17" t="e">
        <f t="shared" ref="C182:C184" si="26">B182/No_who_answered_survey*100</f>
        <v>#DIV/0!</v>
      </c>
      <c r="D182" s="17" t="e">
        <f>B182/(No_who_answered_survey-COUNTIFS(Table2[Do you hold any of the following cards?],Condition_1,Table2[Were you satisfied with the level of privacy provided to you during your appointment?],"Not answered"))*100</f>
        <v>#DIV/0!</v>
      </c>
    </row>
    <row r="183" spans="1:4">
      <c r="A183" s="15" t="str">
        <f>'Validation List'!Q7</f>
        <v>No</v>
      </c>
      <c r="B183" s="16">
        <f>COUNTIFS(Table2[Do you hold any of the following cards?],Condition_1,Table2[Were you satisfied with the level of privacy provided to you during your appointment?],A183)</f>
        <v>0</v>
      </c>
      <c r="C183" s="17" t="e">
        <f t="shared" si="26"/>
        <v>#DIV/0!</v>
      </c>
      <c r="D183" s="17" t="e">
        <f>B183/(No_who_answered_survey-COUNTIFS(Table2[Do you hold any of the following cards?],Condition_1,Table2[Were you satisfied with the level of privacy provided to you during your appointment?],"Not answered"))*100</f>
        <v>#DIV/0!</v>
      </c>
    </row>
    <row r="184" spans="1:4">
      <c r="A184" s="15" t="str">
        <f>'Validation List'!Q15</f>
        <v>Not answered</v>
      </c>
      <c r="B184" s="16">
        <f>COUNTIFS(Table2[Do you hold any of the following cards?],Condition_1,Table2[Were you satisfied with the level of privacy provided to you during your appointment?],A184)</f>
        <v>0</v>
      </c>
      <c r="C184" s="17" t="e">
        <f t="shared" si="26"/>
        <v>#DIV/0!</v>
      </c>
      <c r="D184" s="17"/>
    </row>
    <row r="185" spans="1:4">
      <c r="A185" s="15" t="s">
        <v>39</v>
      </c>
      <c r="B185" s="16">
        <f>SUM(B182:B184)</f>
        <v>0</v>
      </c>
      <c r="C185" s="17" t="e">
        <f>SUM(C182:C184)</f>
        <v>#DIV/0!</v>
      </c>
      <c r="D185" s="17" t="e">
        <f>SUM(D182:D184)</f>
        <v>#DIV/0!</v>
      </c>
    </row>
    <row r="186" spans="1:4">
      <c r="A186" s="18"/>
      <c r="B186" s="13"/>
      <c r="C186" s="22"/>
      <c r="D186" s="22"/>
    </row>
    <row r="187" spans="1:4">
      <c r="A187" s="18"/>
      <c r="B187" s="13"/>
      <c r="C187" s="22"/>
      <c r="D187" s="22"/>
    </row>
    <row r="188" spans="1:4">
      <c r="A188" s="50" t="str">
        <f>'Validation List'!R3</f>
        <v>It was explained that, if relevant to overall care, patients information may be shared with other PCT members
about you with other members of the Primary Care Team?</v>
      </c>
      <c r="B188" s="50"/>
      <c r="C188" s="50"/>
      <c r="D188" s="51"/>
    </row>
    <row r="189" spans="1:4">
      <c r="A189" s="15"/>
      <c r="B189" s="16" t="s">
        <v>37</v>
      </c>
      <c r="C189" s="17" t="s">
        <v>38</v>
      </c>
      <c r="D189" s="17" t="s">
        <v>42</v>
      </c>
    </row>
    <row r="190" spans="1:4">
      <c r="A190" s="15" t="str">
        <f>'Validation List'!R6</f>
        <v>Yes</v>
      </c>
      <c r="B190" s="16">
        <f>COUNTIFS(Table2[Do you hold any of the following cards?],Condition_1,Table2[Was it explained to you that, if relevant to your overall care, we may need to share information
about you with other members of the Primary Care Team?],A190)</f>
        <v>0</v>
      </c>
      <c r="C190" s="17" t="e">
        <f t="shared" ref="C190:C193" si="27">B190/No_who_answered_survey*100</f>
        <v>#DIV/0!</v>
      </c>
      <c r="D190" s="17" t="e">
        <f>B190/(No_who_answered_survey-COUNTIFS(Table2[Do you hold any of the following cards?],Condition_1,Table2[Was it explained to you that, if relevant to your overall care, we may need to share information
about you with other members of the Primary Care Team?],"Not answered"))*100</f>
        <v>#DIV/0!</v>
      </c>
    </row>
    <row r="191" spans="1:4">
      <c r="A191" s="15" t="str">
        <f>'Validation List'!R7</f>
        <v>No</v>
      </c>
      <c r="B191" s="16">
        <f>COUNTIFS(Table2[Do you hold any of the following cards?],Condition_1,Table2[Was it explained to you that, if relevant to your overall care, we may need to share information
about you with other members of the Primary Care Team?],A191)</f>
        <v>0</v>
      </c>
      <c r="C191" s="17" t="e">
        <f t="shared" si="27"/>
        <v>#DIV/0!</v>
      </c>
      <c r="D191" s="17" t="e">
        <f>B191/(No_who_answered_survey-COUNTIFS(Table2[Do you hold any of the following cards?],Condition_1,Table2[Was it explained to you that, if relevant to your overall care, we may need to share information
about you with other members of the Primary Care Team?],"Not answered"))*100</f>
        <v>#DIV/0!</v>
      </c>
    </row>
    <row r="192" spans="1:4">
      <c r="A192" s="15" t="str">
        <f>'Validation List'!R8</f>
        <v>Not sure</v>
      </c>
      <c r="B192" s="16">
        <f>COUNTIFS(Table2[Do you hold any of the following cards?],Condition_1,Table2[Was it explained to you that, if relevant to your overall care, we may need to share information
about you with other members of the Primary Care Team?],A192)</f>
        <v>0</v>
      </c>
      <c r="C192" s="17" t="e">
        <f t="shared" si="27"/>
        <v>#DIV/0!</v>
      </c>
      <c r="D192" s="17" t="e">
        <f>B192/(No_who_answered_survey-COUNTIFS(Table2[Do you hold any of the following cards?],Condition_1,Table2[Was it explained to you that, if relevant to your overall care, we may need to share information
about you with other members of the Primary Care Team?],"Not answered"))*100</f>
        <v>#DIV/0!</v>
      </c>
    </row>
    <row r="193" spans="1:4">
      <c r="A193" s="15" t="str">
        <f>'Validation List'!R15</f>
        <v>Not answered</v>
      </c>
      <c r="B193" s="16">
        <f>COUNTIFS(Table2[Do you hold any of the following cards?],Condition_1,Table2[Was it explained to you that, if relevant to your overall care, we may need to share information
about you with other members of the Primary Care Team?],A193)</f>
        <v>0</v>
      </c>
      <c r="C193" s="17" t="e">
        <f t="shared" si="27"/>
        <v>#DIV/0!</v>
      </c>
      <c r="D193" s="17"/>
    </row>
    <row r="194" spans="1:4">
      <c r="A194" s="15" t="s">
        <v>39</v>
      </c>
      <c r="B194" s="16">
        <f>SUM(B190:B193)</f>
        <v>0</v>
      </c>
      <c r="C194" s="17" t="e">
        <f>SUM(C190:C193)</f>
        <v>#DIV/0!</v>
      </c>
      <c r="D194" s="17" t="e">
        <f>SUM(D190:D193)</f>
        <v>#DIV/0!</v>
      </c>
    </row>
    <row r="195" spans="1:4">
      <c r="A195" s="18"/>
      <c r="B195" s="13"/>
      <c r="C195" s="22"/>
      <c r="D195" s="22"/>
    </row>
    <row r="196" spans="1:4">
      <c r="A196" s="18"/>
      <c r="B196" s="13"/>
      <c r="C196" s="22"/>
      <c r="D196" s="22"/>
    </row>
    <row r="197" spans="1:4">
      <c r="A197" s="50" t="str">
        <f>'Validation List'!S3</f>
        <v>Advice and information provided during appointment was easy to understand</v>
      </c>
      <c r="B197" s="50"/>
      <c r="C197" s="50"/>
      <c r="D197" s="51"/>
    </row>
    <row r="198" spans="1:4">
      <c r="A198" s="15"/>
      <c r="B198" s="16" t="s">
        <v>37</v>
      </c>
      <c r="C198" s="17" t="s">
        <v>38</v>
      </c>
      <c r="D198" s="17" t="s">
        <v>42</v>
      </c>
    </row>
    <row r="199" spans="1:4">
      <c r="A199" s="15" t="str">
        <f>'Validation List'!S6</f>
        <v>Yes</v>
      </c>
      <c r="B199" s="16">
        <f>COUNTIFS(Table2[Do you hold any of the following cards?],Condition_1,Table2[Was the advice and information provided by the healthcare professional during your
appointment today easy to understand?],A199)</f>
        <v>0</v>
      </c>
      <c r="C199" s="17" t="e">
        <f t="shared" ref="C199:C202" si="28">B199/No_who_answered_survey*100</f>
        <v>#DIV/0!</v>
      </c>
      <c r="D199" s="17" t="e">
        <f>B199/(No_who_answered_survey-COUNTIFS(Table2[Do you hold any of the following cards?],Condition_1,Table2[Was the advice and information provided by the healthcare professional during your
appointment today easy to understand?],"Not answered")-COUNTIFS(Table2[Do you hold any of the following cards?],Condition_1,Table2[Was the advice and information provided by the healthcare professional during your
appointment today easy to understand?],"Not Applicable"))*100</f>
        <v>#DIV/0!</v>
      </c>
    </row>
    <row r="200" spans="1:4">
      <c r="A200" s="15" t="str">
        <f>'Validation List'!S7</f>
        <v>No</v>
      </c>
      <c r="B200" s="16">
        <f>COUNTIFS(Table2[Do you hold any of the following cards?],Condition_1,Table2[Was the advice and information provided by the healthcare professional during your
appointment today easy to understand?],A200)</f>
        <v>0</v>
      </c>
      <c r="C200" s="17" t="e">
        <f t="shared" si="28"/>
        <v>#DIV/0!</v>
      </c>
      <c r="D200" s="17" t="e">
        <f>B200/(No_who_answered_survey-COUNTIFS(Table2[Do you hold any of the following cards?],Condition_1,Table2[Was the advice and information provided by the healthcare professional during your
appointment today easy to understand?],"Not answered")-COUNTIFS(Table2[Do you hold any of the following cards?],Condition_1,Table2[Was the advice and information provided by the healthcare professional during your
appointment today easy to understand?],"Not Applicable"))*100</f>
        <v>#DIV/0!</v>
      </c>
    </row>
    <row r="201" spans="1:4">
      <c r="A201" s="15" t="str">
        <f>'Validation List'!S8</f>
        <v>Not Applicable</v>
      </c>
      <c r="B201" s="16">
        <f>COUNTIFS(Table2[Do you hold any of the following cards?],Condition_1,Table2[Was the advice and information provided by the healthcare professional during your
appointment today easy to understand?],A201)</f>
        <v>0</v>
      </c>
      <c r="C201" s="17" t="e">
        <f t="shared" si="28"/>
        <v>#DIV/0!</v>
      </c>
      <c r="D201" s="17"/>
    </row>
    <row r="202" spans="1:4">
      <c r="A202" s="15" t="str">
        <f>'Validation List'!S15</f>
        <v>Not answered</v>
      </c>
      <c r="B202" s="16">
        <f>COUNTIFS(Table2[Do you hold any of the following cards?],Condition_1,Table2[Was the advice and information provided by the healthcare professional during your
appointment today easy to understand?],A202)</f>
        <v>0</v>
      </c>
      <c r="C202" s="17" t="e">
        <f t="shared" si="28"/>
        <v>#DIV/0!</v>
      </c>
      <c r="D202" s="17"/>
    </row>
    <row r="203" spans="1:4">
      <c r="A203" s="15" t="s">
        <v>39</v>
      </c>
      <c r="B203" s="16">
        <f>SUM(B199:B202)</f>
        <v>0</v>
      </c>
      <c r="C203" s="17" t="e">
        <f>SUM(C199:C202)</f>
        <v>#DIV/0!</v>
      </c>
      <c r="D203" s="17" t="e">
        <f>SUM(D199:D202)</f>
        <v>#DIV/0!</v>
      </c>
    </row>
    <row r="204" spans="1:4">
      <c r="A204" s="18"/>
      <c r="B204" s="13"/>
      <c r="C204" s="22"/>
      <c r="D204" s="22"/>
    </row>
    <row r="205" spans="1:4">
      <c r="A205" s="18"/>
      <c r="B205" s="13"/>
      <c r="C205" s="22"/>
      <c r="D205" s="22"/>
    </row>
    <row r="206" spans="1:4">
      <c r="A206" s="47" t="str">
        <f>'Validation List'!T3</f>
        <v>Enough time provided during appointment to ask questions and discuss your health problems and concerns</v>
      </c>
      <c r="B206" s="48"/>
      <c r="C206" s="48"/>
      <c r="D206" s="49"/>
    </row>
    <row r="207" spans="1:4">
      <c r="A207" s="15"/>
      <c r="B207" s="16" t="s">
        <v>37</v>
      </c>
      <c r="C207" s="17" t="s">
        <v>38</v>
      </c>
      <c r="D207" s="17" t="s">
        <v>42</v>
      </c>
    </row>
    <row r="208" spans="1:4">
      <c r="A208" s="15" t="str">
        <f>'Validation List'!T6</f>
        <v>Yes</v>
      </c>
      <c r="B208" s="16">
        <f>COUNTIFS(Table2[Do you hold any of the following cards?],Condition_1,Table2[Did you have enough time during your appointment to ask questions and discuss your health
problems and concerns?],A208)</f>
        <v>0</v>
      </c>
      <c r="C208" s="17" t="e">
        <f t="shared" ref="C208:C210" si="29">B208/No_who_answered_survey*100</f>
        <v>#DIV/0!</v>
      </c>
      <c r="D208" s="17" t="e">
        <f>B208/(No_who_answered_survey-COUNTIFS(Table2[Do you hold any of the following cards?],Condition_1,Table2[Did you have enough time during your appointment to ask questions and discuss your health
problems and concerns?],"Not answered"))*100</f>
        <v>#DIV/0!</v>
      </c>
    </row>
    <row r="209" spans="1:4">
      <c r="A209" s="15" t="str">
        <f>'Validation List'!T7</f>
        <v>No</v>
      </c>
      <c r="B209" s="16">
        <f>COUNTIFS(Table2[Do you hold any of the following cards?],Condition_1,Table2[Did you have enough time during your appointment to ask questions and discuss your health
problems and concerns?],A209)</f>
        <v>0</v>
      </c>
      <c r="C209" s="17" t="e">
        <f t="shared" si="29"/>
        <v>#DIV/0!</v>
      </c>
      <c r="D209" s="17" t="e">
        <f>B209/(No_who_answered_survey-COUNTIFS(Table2[Do you hold any of the following cards?],Condition_1,Table2[Did you have enough time during your appointment to ask questions and discuss your health
problems and concerns?],"Not answered"))*100</f>
        <v>#DIV/0!</v>
      </c>
    </row>
    <row r="210" spans="1:4">
      <c r="A210" s="15" t="str">
        <f>'Validation List'!T15</f>
        <v>Not answered</v>
      </c>
      <c r="B210" s="16">
        <f>COUNTIFS(Table2[Do you hold any of the following cards?],Condition_1,Table2[Did you have enough time during your appointment to ask questions and discuss your health
problems and concerns?],A210)</f>
        <v>0</v>
      </c>
      <c r="C210" s="17" t="e">
        <f t="shared" si="29"/>
        <v>#DIV/0!</v>
      </c>
      <c r="D210" s="17"/>
    </row>
    <row r="211" spans="1:4">
      <c r="A211" s="15" t="s">
        <v>39</v>
      </c>
      <c r="B211" s="16">
        <f>SUM(B208:B210)</f>
        <v>0</v>
      </c>
      <c r="C211" s="17" t="e">
        <f>SUM(C208:C210)</f>
        <v>#DIV/0!</v>
      </c>
      <c r="D211" s="17" t="e">
        <f>SUM(D208:D210)</f>
        <v>#DIV/0!</v>
      </c>
    </row>
    <row r="212" spans="1:4">
      <c r="A212" s="18"/>
      <c r="B212" s="13"/>
      <c r="C212" s="22"/>
      <c r="D212" s="22"/>
    </row>
    <row r="213" spans="1:4">
      <c r="A213" s="18"/>
      <c r="B213" s="13"/>
      <c r="C213" s="22"/>
      <c r="D213" s="22"/>
    </row>
    <row r="214" spans="1:4" ht="27" customHeight="1">
      <c r="A214" s="47" t="str">
        <f>'Validation List'!U3</f>
        <v>Were you involved in making decisions about your care and treatment?</v>
      </c>
      <c r="B214" s="48"/>
      <c r="C214" s="48"/>
      <c r="D214" s="49"/>
    </row>
    <row r="215" spans="1:4">
      <c r="A215" s="15"/>
      <c r="B215" s="16" t="s">
        <v>37</v>
      </c>
      <c r="C215" s="17" t="s">
        <v>38</v>
      </c>
      <c r="D215" s="17" t="s">
        <v>42</v>
      </c>
    </row>
    <row r="216" spans="1:4">
      <c r="A216" s="15" t="str">
        <f>'Validation List'!U6</f>
        <v>Yes</v>
      </c>
      <c r="B216" s="16">
        <f>COUNTIFS(Table2[Do you hold any of the following cards?],Condition_1,Table2[Were you involved in making decisions about your care and treatment?],A216)</f>
        <v>0</v>
      </c>
      <c r="C216" s="17" t="e">
        <f t="shared" ref="C216:C218" si="30">B216/No_who_answered_survey*100</f>
        <v>#DIV/0!</v>
      </c>
      <c r="D216" s="17" t="e">
        <f>B216/(No_who_answered_survey-COUNTIFS(Table2[Do you hold any of the following cards?],Condition_1,Table2[Were you involved in making decisions about your care and treatment?],"Not answered"))*100</f>
        <v>#DIV/0!</v>
      </c>
    </row>
    <row r="217" spans="1:4">
      <c r="A217" s="15" t="str">
        <f>'Validation List'!U7</f>
        <v>No</v>
      </c>
      <c r="B217" s="16">
        <f>COUNTIFS(Table2[Do you hold any of the following cards?],Condition_1,Table2[Were you involved in making decisions about your care and treatment?],A217)</f>
        <v>0</v>
      </c>
      <c r="C217" s="17" t="e">
        <f t="shared" si="30"/>
        <v>#DIV/0!</v>
      </c>
      <c r="D217" s="17" t="e">
        <f>B217/(No_who_answered_survey-COUNTIFS(Table2[Do you hold any of the following cards?],Condition_1,Table2[Were you involved in making decisions about your care and treatment?],"Not answered"))*100</f>
        <v>#DIV/0!</v>
      </c>
    </row>
    <row r="218" spans="1:4">
      <c r="A218" s="15" t="str">
        <f>'Validation List'!U15</f>
        <v>Not answered</v>
      </c>
      <c r="B218" s="16">
        <f>COUNTIFS(Table2[Do you hold any of the following cards?],Condition_1,Table2[Were you involved in making decisions about your care and treatment?],A218)</f>
        <v>0</v>
      </c>
      <c r="C218" s="17" t="e">
        <f t="shared" si="30"/>
        <v>#DIV/0!</v>
      </c>
      <c r="D218" s="17"/>
    </row>
    <row r="219" spans="1:4">
      <c r="A219" s="15" t="s">
        <v>39</v>
      </c>
      <c r="B219" s="16">
        <f>SUM(B216:B218)</f>
        <v>0</v>
      </c>
      <c r="C219" s="17" t="e">
        <f>SUM(C216:C218)</f>
        <v>#DIV/0!</v>
      </c>
      <c r="D219" s="17" t="e">
        <f>SUM(D216:D218)</f>
        <v>#DIV/0!</v>
      </c>
    </row>
    <row r="220" spans="1:4">
      <c r="A220" s="18"/>
      <c r="B220" s="13"/>
      <c r="C220" s="22"/>
      <c r="D220" s="22"/>
    </row>
    <row r="221" spans="1:4">
      <c r="A221" s="18"/>
      <c r="B221" s="13"/>
      <c r="C221" s="22"/>
      <c r="D221" s="22"/>
    </row>
    <row r="222" spans="1:4">
      <c r="A222" s="47" t="str">
        <f>'Validation List'!V3</f>
        <v>Information or advice received on Quitting smoking during your visit</v>
      </c>
      <c r="B222" s="48"/>
      <c r="C222" s="48"/>
      <c r="D222" s="49"/>
    </row>
    <row r="223" spans="1:4">
      <c r="A223" s="15"/>
      <c r="B223" s="16" t="s">
        <v>37</v>
      </c>
      <c r="C223" s="17" t="s">
        <v>38</v>
      </c>
      <c r="D223" s="17" t="s">
        <v>42</v>
      </c>
    </row>
    <row r="224" spans="1:4">
      <c r="A224" s="15" t="str">
        <f>'Validation List'!V6</f>
        <v>Yes</v>
      </c>
      <c r="B224" s="16">
        <f>COUNTIFS(Table2[Do you hold any of the following cards?],Condition_1,Table2[Did you receive information or advice on Quitting smoking during your visit today?],A224)</f>
        <v>0</v>
      </c>
      <c r="C224" s="17" t="e">
        <f t="shared" ref="C224:C227" si="31">B224/No_who_answered_survey*100</f>
        <v>#DIV/0!</v>
      </c>
      <c r="D224" s="17" t="e">
        <f>B224/(No_who_answered_survey-COUNTIFS(Table2[Do you hold any of the following cards?],Condition_1,Table2[Did you receive information or advice on Quitting smoking during your visit today?],"Not answered")-COUNTIFS(Table2[Do you hold any of the following cards?],Condition_1,Table2[Did you receive information or advice on Quitting smoking during your visit today?],"Not Applicable"))*100</f>
        <v>#DIV/0!</v>
      </c>
    </row>
    <row r="225" spans="1:4">
      <c r="A225" s="15" t="str">
        <f>'Validation List'!V7</f>
        <v>No</v>
      </c>
      <c r="B225" s="16">
        <f>COUNTIFS(Table2[Do you hold any of the following cards?],Condition_1,Table2[Did you receive information or advice on Quitting smoking during your visit today?],A225)</f>
        <v>0</v>
      </c>
      <c r="C225" s="17" t="e">
        <f t="shared" si="31"/>
        <v>#DIV/0!</v>
      </c>
      <c r="D225" s="17" t="e">
        <f>B225/(No_who_answered_survey-COUNTIFS(Table2[Do you hold any of the following cards?],Condition_1,Table2[Did you receive information or advice on Quitting smoking during your visit today?],"Not answered")-COUNTIFS(Table2[Do you hold any of the following cards?],Condition_1,Table2[Did you receive information or advice on Quitting smoking during your visit today?],"Not Applicable"))*100</f>
        <v>#DIV/0!</v>
      </c>
    </row>
    <row r="226" spans="1:4">
      <c r="A226" s="15" t="str">
        <f>'Validation List'!V8</f>
        <v>Not Applicable</v>
      </c>
      <c r="B226" s="16">
        <f>COUNTIFS(Table2[Do you hold any of the following cards?],Condition_1,Table2[Did you receive information or advice on Quitting smoking during your visit today?],A226)</f>
        <v>0</v>
      </c>
      <c r="C226" s="17" t="e">
        <f t="shared" si="31"/>
        <v>#DIV/0!</v>
      </c>
      <c r="D226" s="17"/>
    </row>
    <row r="227" spans="1:4">
      <c r="A227" s="15" t="str">
        <f>'Validation List'!V15</f>
        <v>Not answered</v>
      </c>
      <c r="B227" s="16">
        <f>COUNTIFS(Table2[Do you hold any of the following cards?],Condition_1,Table2[Did you receive information or advice on Quitting smoking during your visit today?],A227)</f>
        <v>0</v>
      </c>
      <c r="C227" s="17" t="e">
        <f t="shared" si="31"/>
        <v>#DIV/0!</v>
      </c>
      <c r="D227" s="17"/>
    </row>
    <row r="228" spans="1:4">
      <c r="A228" s="15" t="s">
        <v>39</v>
      </c>
      <c r="B228" s="16">
        <f>SUM(B224:B227)</f>
        <v>0</v>
      </c>
      <c r="C228" s="17" t="e">
        <f>SUM(C224:C227)</f>
        <v>#DIV/0!</v>
      </c>
      <c r="D228" s="17" t="e">
        <f>SUM(D224:D227)</f>
        <v>#DIV/0!</v>
      </c>
    </row>
    <row r="229" spans="1:4">
      <c r="A229" s="18"/>
      <c r="B229" s="13"/>
      <c r="C229" s="22"/>
      <c r="D229" s="22"/>
    </row>
    <row r="230" spans="1:4">
      <c r="A230" s="18"/>
      <c r="B230" s="13"/>
      <c r="C230" s="22"/>
      <c r="D230" s="22"/>
    </row>
    <row r="231" spans="1:4">
      <c r="A231" s="50" t="str">
        <f>'Validation List'!W3</f>
        <v>Information or advice received  on Losing weight during your visit today</v>
      </c>
      <c r="B231" s="50"/>
      <c r="C231" s="50"/>
      <c r="D231" s="51"/>
    </row>
    <row r="232" spans="1:4">
      <c r="A232" s="15"/>
      <c r="B232" s="16" t="s">
        <v>37</v>
      </c>
      <c r="C232" s="17" t="s">
        <v>38</v>
      </c>
      <c r="D232" s="17" t="s">
        <v>42</v>
      </c>
    </row>
    <row r="233" spans="1:4">
      <c r="A233" s="15" t="str">
        <f>'Validation List'!W6</f>
        <v>Yes</v>
      </c>
      <c r="B233" s="16">
        <f>COUNTIFS(Table2[Do you hold any of the following cards?],Condition_1,Table2[Did you receive information or advice on Losing weight during your visit today?],A233)</f>
        <v>0</v>
      </c>
      <c r="C233" s="17" t="e">
        <f t="shared" ref="C233:C236" si="32">B233/No_who_answered_survey*100</f>
        <v>#DIV/0!</v>
      </c>
      <c r="D233" s="17" t="e">
        <f>B233/(No_who_answered_survey-COUNTIFS(Table2[Do you hold any of the following cards?],Condition_1,Table2[Did you receive information or advice on Losing weight during your visit today?],"Not answered")-COUNTIFS(Table2[Do you hold any of the following cards?],Condition_1,Table2[Did you receive information or advice on Losing weight during your visit today?],"Not Applicable"))*100</f>
        <v>#DIV/0!</v>
      </c>
    </row>
    <row r="234" spans="1:4">
      <c r="A234" s="15" t="str">
        <f>'Validation List'!W7</f>
        <v>No</v>
      </c>
      <c r="B234" s="16">
        <f>COUNTIFS(Table2[Do you hold any of the following cards?],Condition_1,Table2[Did you receive information or advice on Losing weight during your visit today?],A234)</f>
        <v>0</v>
      </c>
      <c r="C234" s="17" t="e">
        <f t="shared" si="32"/>
        <v>#DIV/0!</v>
      </c>
      <c r="D234" s="17" t="e">
        <f>B234/(No_who_answered_survey-COUNTIFS(Table2[Do you hold any of the following cards?],Condition_1,Table2[Did you receive information or advice on Losing weight during your visit today?],"Not answered")-COUNTIFS(Table2[Do you hold any of the following cards?],Condition_1,Table2[Did you receive information or advice on Losing weight during your visit today?],"Not Applicable"))*100</f>
        <v>#DIV/0!</v>
      </c>
    </row>
    <row r="235" spans="1:4">
      <c r="A235" s="15" t="str">
        <f>'Validation List'!W8</f>
        <v>Not Applicable</v>
      </c>
      <c r="B235" s="16">
        <f>COUNTIFS(Table2[Do you hold any of the following cards?],Condition_1,Table2[Did you receive information or advice on Losing weight during your visit today?],A235)</f>
        <v>0</v>
      </c>
      <c r="C235" s="17" t="e">
        <f t="shared" si="32"/>
        <v>#DIV/0!</v>
      </c>
      <c r="D235" s="17"/>
    </row>
    <row r="236" spans="1:4">
      <c r="A236" s="15" t="str">
        <f>'Validation List'!W15</f>
        <v>Not answered</v>
      </c>
      <c r="B236" s="16">
        <f>COUNTIFS(Table2[Do you hold any of the following cards?],Condition_1,Table2[Did you receive information or advice on Losing weight during your visit today?],A236)</f>
        <v>0</v>
      </c>
      <c r="C236" s="17" t="e">
        <f t="shared" si="32"/>
        <v>#DIV/0!</v>
      </c>
      <c r="D236" s="17"/>
    </row>
    <row r="237" spans="1:4">
      <c r="A237" s="15" t="s">
        <v>39</v>
      </c>
      <c r="B237" s="16">
        <f>SUM(B233:B236)</f>
        <v>0</v>
      </c>
      <c r="C237" s="17" t="e">
        <f>SUM(C233:C236)</f>
        <v>#DIV/0!</v>
      </c>
      <c r="D237" s="17" t="e">
        <f>SUM(D233:D236)</f>
        <v>#DIV/0!</v>
      </c>
    </row>
    <row r="238" spans="1:4">
      <c r="A238" s="18"/>
      <c r="B238" s="13"/>
      <c r="C238" s="22"/>
      <c r="D238" s="22"/>
    </row>
    <row r="239" spans="1:4">
      <c r="A239" s="18"/>
      <c r="B239" s="13"/>
      <c r="C239" s="22"/>
      <c r="D239" s="22"/>
    </row>
    <row r="240" spans="1:4">
      <c r="A240" s="50" t="str">
        <f>'Validation List'!X3</f>
        <v>Information or advice received  on Nutrition and healthy eating during your visit</v>
      </c>
      <c r="B240" s="50"/>
      <c r="C240" s="50"/>
      <c r="D240" s="51"/>
    </row>
    <row r="241" spans="1:4">
      <c r="A241" s="15"/>
      <c r="B241" s="16" t="s">
        <v>37</v>
      </c>
      <c r="C241" s="17" t="s">
        <v>38</v>
      </c>
      <c r="D241" s="17" t="s">
        <v>42</v>
      </c>
    </row>
    <row r="242" spans="1:4">
      <c r="A242" s="15" t="str">
        <f>'Validation List'!X6</f>
        <v>Yes</v>
      </c>
      <c r="B242" s="16">
        <f>COUNTIFS(Table2[Do you hold any of the following cards?],Condition_1,Table2[Did you receive information or advice on Nutrition and healthy eating during your visit today?],A242)</f>
        <v>0</v>
      </c>
      <c r="C242" s="17" t="e">
        <f t="shared" ref="C242:C245" si="33">B242/No_who_answered_survey*100</f>
        <v>#DIV/0!</v>
      </c>
      <c r="D242" s="17" t="e">
        <f>B242/(No_who_answered_survey-COUNTIFS(Table2[Do you hold any of the following cards?],Condition_1,Table2[Did you receive information or advice on Nutrition and healthy eating during your visit today?],"Not answered")-COUNTIFS(Table2[Do you hold any of the following cards?],Condition_1,Table2[Did you receive information or advice on Nutrition and healthy eating during your visit today?],"Not Applicable"))*100</f>
        <v>#DIV/0!</v>
      </c>
    </row>
    <row r="243" spans="1:4">
      <c r="A243" s="15" t="str">
        <f>'Validation List'!X7</f>
        <v>No</v>
      </c>
      <c r="B243" s="16">
        <f>COUNTIFS(Table2[Do you hold any of the following cards?],Condition_1,Table2[Did you receive information or advice on Nutrition and healthy eating during your visit today?],A243)</f>
        <v>0</v>
      </c>
      <c r="C243" s="17" t="e">
        <f t="shared" si="33"/>
        <v>#DIV/0!</v>
      </c>
      <c r="D243" s="17" t="e">
        <f>B243/(No_who_answered_survey-COUNTIFS(Table2[Do you hold any of the following cards?],Condition_1,Table2[Did you receive information or advice on Nutrition and healthy eating during your visit today?],"Not answered")-COUNTIFS(Table2[Do you hold any of the following cards?],Condition_1,Table2[Did you receive information or advice on Nutrition and healthy eating during your visit today?],"Not Applicable"))*100</f>
        <v>#DIV/0!</v>
      </c>
    </row>
    <row r="244" spans="1:4">
      <c r="A244" s="15" t="str">
        <f>'Validation List'!X8</f>
        <v>Not Applicable</v>
      </c>
      <c r="B244" s="16">
        <f>COUNTIFS(Table2[Do you hold any of the following cards?],Condition_1,Table2[Did you receive information or advice on Nutrition and healthy eating during your visit today?],A244)</f>
        <v>0</v>
      </c>
      <c r="C244" s="17" t="e">
        <f t="shared" si="33"/>
        <v>#DIV/0!</v>
      </c>
      <c r="D244" s="17"/>
    </row>
    <row r="245" spans="1:4">
      <c r="A245" s="15" t="str">
        <f>'Validation List'!X15</f>
        <v>Not answered</v>
      </c>
      <c r="B245" s="16">
        <f>COUNTIFS(Table2[Do you hold any of the following cards?],Condition_1,Table2[Did you receive information or advice on Nutrition and healthy eating during your visit today?],A245)</f>
        <v>0</v>
      </c>
      <c r="C245" s="17" t="e">
        <f t="shared" si="33"/>
        <v>#DIV/0!</v>
      </c>
      <c r="D245" s="17"/>
    </row>
    <row r="246" spans="1:4">
      <c r="A246" s="15" t="s">
        <v>39</v>
      </c>
      <c r="B246" s="16">
        <f>SUM(B242:B245)</f>
        <v>0</v>
      </c>
      <c r="C246" s="17" t="e">
        <f>SUM(C242:C245)</f>
        <v>#DIV/0!</v>
      </c>
      <c r="D246" s="17" t="e">
        <f>SUM(D242:D245)</f>
        <v>#DIV/0!</v>
      </c>
    </row>
    <row r="247" spans="1:4">
      <c r="A247" s="18"/>
      <c r="B247" s="13"/>
      <c r="C247" s="22"/>
      <c r="D247" s="22"/>
    </row>
    <row r="248" spans="1:4">
      <c r="A248" s="18"/>
      <c r="B248" s="13"/>
      <c r="C248" s="22"/>
      <c r="D248" s="22"/>
    </row>
    <row r="249" spans="1:4">
      <c r="A249" s="50" t="str">
        <f>'Validation List'!Y3</f>
        <v>Information or advice received on Physical activity during your visit today</v>
      </c>
      <c r="B249" s="50"/>
      <c r="C249" s="50"/>
      <c r="D249" s="51"/>
    </row>
    <row r="250" spans="1:4">
      <c r="A250" s="15"/>
      <c r="B250" s="16" t="s">
        <v>37</v>
      </c>
      <c r="C250" s="17" t="s">
        <v>38</v>
      </c>
      <c r="D250" s="17" t="s">
        <v>42</v>
      </c>
    </row>
    <row r="251" spans="1:4">
      <c r="A251" s="15" t="str">
        <f>'Validation List'!Y6</f>
        <v>Yes</v>
      </c>
      <c r="B251" s="16">
        <f>COUNTIFS(Table2[Do you hold any of the following cards?],Condition_1,Table2[Did you receive information or advice on Physical activity during your visit today?],A251)</f>
        <v>0</v>
      </c>
      <c r="C251" s="17" t="e">
        <f t="shared" ref="C251:C254" si="34">B251/No_who_answered_survey*100</f>
        <v>#DIV/0!</v>
      </c>
      <c r="D251" s="17" t="e">
        <f>B251/(No_who_answered_survey-COUNTIFS(Table2[Do you hold any of the following cards?],Condition_1,Table2[Did you receive information or advice on Physical activity during your visit today?],"Not answered")-COUNTIFS(Table2[Do you hold any of the following cards?],Condition_1,Table2[Did you receive information or advice on Physical activity during your visit today?],"Not Applicable"))*100</f>
        <v>#DIV/0!</v>
      </c>
    </row>
    <row r="252" spans="1:4">
      <c r="A252" s="15" t="str">
        <f>'Validation List'!Y7</f>
        <v>No</v>
      </c>
      <c r="B252" s="16">
        <f>COUNTIFS(Table2[Do you hold any of the following cards?],Condition_1,Table2[Did you receive information or advice on Physical activity during your visit today?],A252)</f>
        <v>0</v>
      </c>
      <c r="C252" s="17" t="e">
        <f t="shared" si="34"/>
        <v>#DIV/0!</v>
      </c>
      <c r="D252" s="17" t="e">
        <f>B252/(No_who_answered_survey-COUNTIFS(Table2[Do you hold any of the following cards?],Condition_1,Table2[Did you receive information or advice on Physical activity during your visit today?],"Not answered")-COUNTIFS(Table2[Do you hold any of the following cards?],Condition_1,Table2[Did you receive information or advice on Physical activity during your visit today?],"Not Applicable"))*100</f>
        <v>#DIV/0!</v>
      </c>
    </row>
    <row r="253" spans="1:4">
      <c r="A253" s="15" t="str">
        <f>'Validation List'!Y8</f>
        <v>Not Applicable</v>
      </c>
      <c r="B253" s="16">
        <f>COUNTIFS(Table2[Do you hold any of the following cards?],Condition_1,Table2[Did you receive information or advice on Physical activity during your visit today?],A253)</f>
        <v>0</v>
      </c>
      <c r="C253" s="17" t="e">
        <f t="shared" si="34"/>
        <v>#DIV/0!</v>
      </c>
      <c r="D253" s="17"/>
    </row>
    <row r="254" spans="1:4">
      <c r="A254" s="15" t="str">
        <f>'Validation List'!Y15</f>
        <v>Not answered</v>
      </c>
      <c r="B254" s="16">
        <f>COUNTIFS(Table2[Do you hold any of the following cards?],Condition_1,Table2[Did you receive information or advice on Physical activity during your visit today?],A254)</f>
        <v>0</v>
      </c>
      <c r="C254" s="17" t="e">
        <f t="shared" si="34"/>
        <v>#DIV/0!</v>
      </c>
      <c r="D254" s="17"/>
    </row>
    <row r="255" spans="1:4">
      <c r="A255" s="15" t="s">
        <v>39</v>
      </c>
      <c r="B255" s="16">
        <f>SUM(B251:B254)</f>
        <v>0</v>
      </c>
      <c r="C255" s="17" t="e">
        <f>SUM(C251:C254)</f>
        <v>#DIV/0!</v>
      </c>
      <c r="D255" s="17" t="e">
        <f>SUM(D251:D254)</f>
        <v>#DIV/0!</v>
      </c>
    </row>
    <row r="256" spans="1:4">
      <c r="A256" s="18"/>
      <c r="B256" s="13"/>
      <c r="C256" s="22"/>
      <c r="D256" s="22"/>
    </row>
    <row r="257" spans="1:4">
      <c r="A257" s="18"/>
      <c r="B257" s="13"/>
      <c r="C257" s="22"/>
      <c r="D257" s="22"/>
    </row>
    <row r="258" spans="1:4">
      <c r="A258" s="50" t="str">
        <f>'Validation List'!Z3</f>
        <v xml:space="preserve">Information or advice received on Alcohol use during your visit </v>
      </c>
      <c r="B258" s="50"/>
      <c r="C258" s="50"/>
      <c r="D258" s="51"/>
    </row>
    <row r="259" spans="1:4">
      <c r="A259" s="15"/>
      <c r="B259" s="16" t="s">
        <v>37</v>
      </c>
      <c r="C259" s="17" t="s">
        <v>38</v>
      </c>
      <c r="D259" s="17" t="s">
        <v>42</v>
      </c>
    </row>
    <row r="260" spans="1:4">
      <c r="A260" s="15" t="str">
        <f>'Validation List'!Z6</f>
        <v>Yes</v>
      </c>
      <c r="B260" s="16">
        <f>COUNTIFS(Table2[Do you hold any of the following cards?],Condition_1,Table2[Did you receive information or advice on Alcohol use during your visit today?],A260)</f>
        <v>0</v>
      </c>
      <c r="C260" s="17" t="e">
        <f t="shared" ref="C260:C263" si="35">B260/No_who_answered_survey*100</f>
        <v>#DIV/0!</v>
      </c>
      <c r="D260" s="17" t="e">
        <f>B260/(No_who_answered_survey-COUNTIFS(Table2[Do you hold any of the following cards?],Condition_1,Table2[Did you receive information or advice on Alcohol use during your visit today?],"Not answered")-COUNTIFS(Table2[Do you hold any of the following cards?],Condition_1,Table2[Did you receive information or advice on Alcohol use during your visit today?],"Not Applicable"))*100</f>
        <v>#DIV/0!</v>
      </c>
    </row>
    <row r="261" spans="1:4">
      <c r="A261" s="15" t="str">
        <f>'Validation List'!Z7</f>
        <v>No</v>
      </c>
      <c r="B261" s="16">
        <f>COUNTIFS(Table2[Do you hold any of the following cards?],Condition_1,Table2[Did you receive information or advice on Alcohol use during your visit today?],A261)</f>
        <v>0</v>
      </c>
      <c r="C261" s="17" t="e">
        <f t="shared" si="35"/>
        <v>#DIV/0!</v>
      </c>
      <c r="D261" s="17" t="e">
        <f>B261/(No_who_answered_survey-COUNTIFS(Table2[Do you hold any of the following cards?],Condition_1,Table2[Did you receive information or advice on Alcohol use during your visit today?],"Not answered")-COUNTIFS(Table2[Do you hold any of the following cards?],Condition_1,Table2[Did you receive information or advice on Alcohol use during your visit today?],"Not Applicable"))*100</f>
        <v>#DIV/0!</v>
      </c>
    </row>
    <row r="262" spans="1:4">
      <c r="A262" s="15" t="str">
        <f>'Validation List'!Z8</f>
        <v>Not Applicable</v>
      </c>
      <c r="B262" s="16">
        <f>COUNTIFS(Table2[Do you hold any of the following cards?],Condition_1,Table2[Did you receive information or advice on Alcohol use during your visit today?],A262)</f>
        <v>0</v>
      </c>
      <c r="C262" s="17" t="e">
        <f t="shared" si="35"/>
        <v>#DIV/0!</v>
      </c>
      <c r="D262" s="17"/>
    </row>
    <row r="263" spans="1:4">
      <c r="A263" s="15" t="str">
        <f>'Validation List'!Z15</f>
        <v>Not answered</v>
      </c>
      <c r="B263" s="16">
        <f>COUNTIFS(Table2[Do you hold any of the following cards?],Condition_1,Table2[Did you receive information or advice on Alcohol use during your visit today?],A263)</f>
        <v>0</v>
      </c>
      <c r="C263" s="17" t="e">
        <f t="shared" si="35"/>
        <v>#DIV/0!</v>
      </c>
      <c r="D263" s="17"/>
    </row>
    <row r="264" spans="1:4">
      <c r="A264" s="15" t="s">
        <v>39</v>
      </c>
      <c r="B264" s="16">
        <f>SUM(B260:B263)</f>
        <v>0</v>
      </c>
      <c r="C264" s="17" t="e">
        <f>SUM(C260:C263)</f>
        <v>#DIV/0!</v>
      </c>
      <c r="D264" s="17" t="e">
        <f>SUM(D260:D263)</f>
        <v>#DIV/0!</v>
      </c>
    </row>
    <row r="265" spans="1:4">
      <c r="A265" s="18"/>
      <c r="B265" s="13"/>
      <c r="C265" s="22"/>
      <c r="D265" s="22"/>
    </row>
    <row r="266" spans="1:4">
      <c r="A266" s="18"/>
      <c r="B266" s="13"/>
      <c r="C266" s="22"/>
      <c r="D266" s="22"/>
    </row>
    <row r="267" spans="1:4" ht="30" customHeight="1">
      <c r="A267" s="47" t="str">
        <f>'Validation List'!AA3</f>
        <v>Information or advice received Mental health and wellbeing during your visit</v>
      </c>
      <c r="B267" s="48"/>
      <c r="C267" s="48"/>
      <c r="D267" s="49"/>
    </row>
    <row r="268" spans="1:4">
      <c r="A268" s="15"/>
      <c r="B268" s="16" t="s">
        <v>37</v>
      </c>
      <c r="C268" s="17" t="s">
        <v>38</v>
      </c>
      <c r="D268" s="17" t="s">
        <v>42</v>
      </c>
    </row>
    <row r="269" spans="1:4">
      <c r="A269" s="15" t="str">
        <f>'Validation List'!AA6</f>
        <v>Yes</v>
      </c>
      <c r="B269" s="16">
        <f>COUNTIFS(Table2[Do you hold any of the following cards?],Condition_1,Table2[Did you receive information or advice on Mental health and wellbeing during your visit today?],A269)</f>
        <v>0</v>
      </c>
      <c r="C269" s="17" t="e">
        <f t="shared" ref="C269:C272" si="36">B269/No_who_answered_survey*100</f>
        <v>#DIV/0!</v>
      </c>
      <c r="D269" s="17" t="e">
        <f>B269/(No_who_answered_survey-COUNTIFS(Table2[Do you hold any of the following cards?],Condition_1,Table2[Did you receive information or advice on Mental health and wellbeing during your visit today?],"Not answered")-COUNTIFS(Table2[Do you hold any of the following cards?],Condition_1,Table2[Did you receive information or advice on Mental health and wellbeing during your visit today?],"Not Applicable"))*100</f>
        <v>#DIV/0!</v>
      </c>
    </row>
    <row r="270" spans="1:4">
      <c r="A270" s="15" t="str">
        <f>'Validation List'!AA7</f>
        <v>No</v>
      </c>
      <c r="B270" s="16">
        <f>COUNTIFS(Table2[Do you hold any of the following cards?],Condition_1,Table2[Did you receive information or advice on Mental health and wellbeing during your visit today?],A270)</f>
        <v>0</v>
      </c>
      <c r="C270" s="17" t="e">
        <f t="shared" si="36"/>
        <v>#DIV/0!</v>
      </c>
      <c r="D270" s="17" t="e">
        <f>B270/(No_who_answered_survey-COUNTIFS(Table2[Do you hold any of the following cards?],Condition_1,Table2[Did you receive information or advice on Mental health and wellbeing during your visit today?],"Not answered")-COUNTIFS(Table2[Do you hold any of the following cards?],Condition_1,Table2[Did you receive information or advice on Mental health and wellbeing during your visit today?],"Not Applicable"))*100</f>
        <v>#DIV/0!</v>
      </c>
    </row>
    <row r="271" spans="1:4">
      <c r="A271" s="15" t="str">
        <f>'Validation List'!AA8</f>
        <v>Not Applicable</v>
      </c>
      <c r="B271" s="16">
        <f>COUNTIFS(Table2[Do you hold any of the following cards?],Condition_1,Table2[Did you receive information or advice on Mental health and wellbeing during your visit today?],A271)</f>
        <v>0</v>
      </c>
      <c r="C271" s="17" t="e">
        <f t="shared" si="36"/>
        <v>#DIV/0!</v>
      </c>
      <c r="D271" s="17"/>
    </row>
    <row r="272" spans="1:4">
      <c r="A272" s="15" t="str">
        <f>'Validation List'!AA15</f>
        <v>Not answered</v>
      </c>
      <c r="B272" s="16">
        <f>COUNTIFS(Table2[Do you hold any of the following cards?],Condition_1,Table2[Did you receive information or advice on Mental health and wellbeing during your visit today?],A272)</f>
        <v>0</v>
      </c>
      <c r="C272" s="17" t="e">
        <f t="shared" si="36"/>
        <v>#DIV/0!</v>
      </c>
      <c r="D272" s="17"/>
    </row>
    <row r="273" spans="1:4">
      <c r="A273" s="15" t="s">
        <v>39</v>
      </c>
      <c r="B273" s="16">
        <f>SUM(B269:B272)</f>
        <v>0</v>
      </c>
      <c r="C273" s="17" t="e">
        <f>SUM(C269:C272)</f>
        <v>#DIV/0!</v>
      </c>
      <c r="D273" s="17" t="e">
        <f>SUM(D269:D272)</f>
        <v>#DIV/0!</v>
      </c>
    </row>
    <row r="274" spans="1:4">
      <c r="A274" s="18"/>
      <c r="B274" s="13"/>
      <c r="C274" s="22"/>
      <c r="D274" s="22"/>
    </row>
    <row r="275" spans="1:4">
      <c r="A275" s="18"/>
      <c r="B275" s="13"/>
      <c r="C275" s="22"/>
      <c r="D275" s="22"/>
    </row>
    <row r="276" spans="1:4" ht="27" customHeight="1">
      <c r="A276" s="47" t="str">
        <f>'Validation List'!AB3</f>
        <v>Information or advice received on Dementia during your visit</v>
      </c>
      <c r="B276" s="48"/>
      <c r="C276" s="48"/>
      <c r="D276" s="49"/>
    </row>
    <row r="277" spans="1:4">
      <c r="A277" s="15"/>
      <c r="B277" s="16" t="s">
        <v>37</v>
      </c>
      <c r="C277" s="17" t="s">
        <v>38</v>
      </c>
      <c r="D277" s="17" t="s">
        <v>42</v>
      </c>
    </row>
    <row r="278" spans="1:4">
      <c r="A278" s="15" t="str">
        <f>'Validation List'!AB6</f>
        <v>Yes</v>
      </c>
      <c r="B278" s="16">
        <f>COUNTIFS(Table2[Do you hold any of the following cards?],Condition_1,Table2[Did you receive information or advice on Dementia during your visit today?],A278)</f>
        <v>0</v>
      </c>
      <c r="C278" s="17" t="e">
        <f t="shared" ref="C278:C281" si="37">B278/No_who_answered_survey*100</f>
        <v>#DIV/0!</v>
      </c>
      <c r="D278" s="17" t="e">
        <f>B278/(No_who_answered_survey-COUNTIFS(Table2[Do you hold any of the following cards?],Condition_1,Table2[Did you receive information or advice on Dementia during your visit today?],"Not answered")-COUNTIFS(Table2[Do you hold any of the following cards?],Condition_1,Table2[Did you receive information or advice on Dementia during your visit today?],"Not Applicable"))*100</f>
        <v>#DIV/0!</v>
      </c>
    </row>
    <row r="279" spans="1:4">
      <c r="A279" s="15" t="str">
        <f>'Validation List'!AB7</f>
        <v>No</v>
      </c>
      <c r="B279" s="16">
        <f>COUNTIFS(Table2[Do you hold any of the following cards?],Condition_1,Table2[Did you receive information or advice on Dementia during your visit today?],A279)</f>
        <v>0</v>
      </c>
      <c r="C279" s="17" t="e">
        <f t="shared" si="37"/>
        <v>#DIV/0!</v>
      </c>
      <c r="D279" s="17" t="e">
        <f>B279/(No_who_answered_survey-COUNTIFS(Table2[Do you hold any of the following cards?],Condition_1,Table2[Did you receive information or advice on Dementia during your visit today?],"Not answered")-COUNTIFS(Table2[Do you hold any of the following cards?],Condition_1,Table2[Did you receive information or advice on Dementia during your visit today?],"Not Applicable"))*100</f>
        <v>#DIV/0!</v>
      </c>
    </row>
    <row r="280" spans="1:4">
      <c r="A280" s="15" t="str">
        <f>'Validation List'!AB8</f>
        <v>Not Applicable</v>
      </c>
      <c r="B280" s="16">
        <f>COUNTIFS(Table2[Do you hold any of the following cards?],Condition_1,Table2[Did you receive information or advice on Dementia during your visit today?],A280)</f>
        <v>0</v>
      </c>
      <c r="C280" s="17" t="e">
        <f t="shared" si="37"/>
        <v>#DIV/0!</v>
      </c>
      <c r="D280" s="17"/>
    </row>
    <row r="281" spans="1:4">
      <c r="A281" s="15" t="str">
        <f>'Validation List'!AB15</f>
        <v>Not answered</v>
      </c>
      <c r="B281" s="16">
        <f>COUNTIFS(Table2[Do you hold any of the following cards?],Condition_1,Table2[Did you receive information or advice on Dementia during your visit today?],A281)</f>
        <v>0</v>
      </c>
      <c r="C281" s="17" t="e">
        <f t="shared" si="37"/>
        <v>#DIV/0!</v>
      </c>
      <c r="D281" s="17"/>
    </row>
    <row r="282" spans="1:4">
      <c r="A282" s="15" t="s">
        <v>39</v>
      </c>
      <c r="B282" s="16">
        <f>SUM(B278:B281)</f>
        <v>0</v>
      </c>
      <c r="C282" s="17" t="e">
        <f>SUM(C278:C281)</f>
        <v>#DIV/0!</v>
      </c>
      <c r="D282" s="17" t="e">
        <f>SUM(D278:D281)</f>
        <v>#DIV/0!</v>
      </c>
    </row>
    <row r="283" spans="1:4">
      <c r="A283" s="18"/>
      <c r="B283" s="13"/>
      <c r="C283" s="22"/>
      <c r="D283" s="22"/>
    </row>
    <row r="284" spans="1:4">
      <c r="A284" s="18"/>
      <c r="B284" s="13"/>
      <c r="C284" s="22"/>
      <c r="D284" s="22"/>
    </row>
    <row r="285" spans="1:4" ht="30" customHeight="1">
      <c r="A285" s="47" t="str">
        <f>'Validation List'!AC3</f>
        <v>Information or advice received on Falls prevention during your visit</v>
      </c>
      <c r="B285" s="48"/>
      <c r="C285" s="48"/>
      <c r="D285" s="49"/>
    </row>
    <row r="286" spans="1:4">
      <c r="A286" s="15"/>
      <c r="B286" s="16" t="s">
        <v>37</v>
      </c>
      <c r="C286" s="17" t="s">
        <v>38</v>
      </c>
      <c r="D286" s="17" t="s">
        <v>42</v>
      </c>
    </row>
    <row r="287" spans="1:4">
      <c r="A287" s="15" t="str">
        <f>'Validation List'!AC6</f>
        <v>Yes</v>
      </c>
      <c r="B287" s="16">
        <f>COUNTIFS(Table2[Do you hold any of the following cards?],Condition_1,Table2[Did you receive information or advice on Falls prevention during your visit today?],A287)</f>
        <v>0</v>
      </c>
      <c r="C287" s="17" t="e">
        <f t="shared" ref="C287:C290" si="38">B287/No_who_answered_survey*100</f>
        <v>#DIV/0!</v>
      </c>
      <c r="D287" s="17" t="e">
        <f>B287/(No_who_answered_survey-COUNTIFS(Table2[Do you hold any of the following cards?],Condition_1,Table2[Did you receive information or advice on Falls prevention during your visit today?],"Not answered")-COUNTIFS(Table2[Do you hold any of the following cards?],Condition_1,Table2[Did you receive information or advice on Falls prevention during your visit today?],"Not Applicable"))*100</f>
        <v>#DIV/0!</v>
      </c>
    </row>
    <row r="288" spans="1:4">
      <c r="A288" s="15" t="str">
        <f>'Validation List'!AC7</f>
        <v>No</v>
      </c>
      <c r="B288" s="16">
        <f>COUNTIFS(Table2[Do you hold any of the following cards?],Condition_1,Table2[Did you receive information or advice on Falls prevention during your visit today?],A288)</f>
        <v>0</v>
      </c>
      <c r="C288" s="17" t="e">
        <f t="shared" si="38"/>
        <v>#DIV/0!</v>
      </c>
      <c r="D288" s="17" t="e">
        <f>B288/(No_who_answered_survey-COUNTIFS(Table2[Do you hold any of the following cards?],Condition_1,Table2[Did you receive information or advice on Falls prevention during your visit today?],"Not answered")-COUNTIFS(Table2[Do you hold any of the following cards?],Condition_1,Table2[Did you receive information or advice on Falls prevention during your visit today?],"Not Applicable"))*100</f>
        <v>#DIV/0!</v>
      </c>
    </row>
    <row r="289" spans="1:4">
      <c r="A289" s="15" t="str">
        <f>'Validation List'!AC8</f>
        <v>Not Applicable</v>
      </c>
      <c r="B289" s="16">
        <f>COUNTIFS(Table2[Do you hold any of the following cards?],Condition_1,Table2[Did you receive information or advice on Falls prevention during your visit today?],A289)</f>
        <v>0</v>
      </c>
      <c r="C289" s="17" t="e">
        <f t="shared" si="38"/>
        <v>#DIV/0!</v>
      </c>
      <c r="D289" s="17"/>
    </row>
    <row r="290" spans="1:4">
      <c r="A290" s="15" t="str">
        <f>'Validation List'!AC15</f>
        <v>Not answered</v>
      </c>
      <c r="B290" s="16">
        <f>COUNTIFS(Table2[Do you hold any of the following cards?],Condition_1,Table2[Did you receive information or advice on Falls prevention during your visit today?],A290)</f>
        <v>0</v>
      </c>
      <c r="C290" s="17" t="e">
        <f t="shared" si="38"/>
        <v>#DIV/0!</v>
      </c>
      <c r="D290" s="17"/>
    </row>
    <row r="291" spans="1:4">
      <c r="A291" s="15" t="s">
        <v>39</v>
      </c>
      <c r="B291" s="16">
        <f>SUM(B287:B290)</f>
        <v>0</v>
      </c>
      <c r="C291" s="17" t="e">
        <f>SUM(C287:C290)</f>
        <v>#DIV/0!</v>
      </c>
      <c r="D291" s="17" t="e">
        <f>SUM(D287:D290)</f>
        <v>#DIV/0!</v>
      </c>
    </row>
    <row r="292" spans="1:4">
      <c r="A292" s="18"/>
      <c r="B292" s="13"/>
      <c r="C292" s="22"/>
      <c r="D292" s="22"/>
    </row>
    <row r="293" spans="1:4">
      <c r="A293" s="18"/>
      <c r="B293" s="13"/>
      <c r="C293" s="22"/>
      <c r="D293" s="22"/>
    </row>
    <row r="294" spans="1:4" ht="26.25" customHeight="1">
      <c r="A294" s="47" t="str">
        <f>'Validation List'!AD3</f>
        <v>Information or advice received on Drug use during your visit</v>
      </c>
      <c r="B294" s="48"/>
      <c r="C294" s="48"/>
      <c r="D294" s="49"/>
    </row>
    <row r="295" spans="1:4">
      <c r="A295" s="15"/>
      <c r="B295" s="16" t="s">
        <v>37</v>
      </c>
      <c r="C295" s="17" t="s">
        <v>38</v>
      </c>
      <c r="D295" s="17" t="s">
        <v>42</v>
      </c>
    </row>
    <row r="296" spans="1:4">
      <c r="A296" s="15" t="str">
        <f>'Validation List'!AD6</f>
        <v>Yes</v>
      </c>
      <c r="B296" s="16">
        <f>COUNTIFS(Table2[Do you hold any of the following cards?],Condition_1,Table2[Did you receive information or advice on Drug use during your visit today?],A296)</f>
        <v>0</v>
      </c>
      <c r="C296" s="17" t="e">
        <f t="shared" ref="C296:C299" si="39">B296/No_who_answered_survey*100</f>
        <v>#DIV/0!</v>
      </c>
      <c r="D296" s="17" t="e">
        <f>B296/(No_who_answered_survey-COUNTIFS(Table2[Do you hold any of the following cards?],Condition_1,Table2[Did you receive information or advice on Drug use during your visit today?],"Not answered")-COUNTIFS(Table2[Do you hold any of the following cards?],Condition_1,Table2[Did you receive information or advice on Drug use during your visit today?],"Not Applicable"))*100</f>
        <v>#DIV/0!</v>
      </c>
    </row>
    <row r="297" spans="1:4">
      <c r="A297" s="15" t="str">
        <f>'Validation List'!AD7</f>
        <v>No</v>
      </c>
      <c r="B297" s="16">
        <f>COUNTIFS(Table2[Do you hold any of the following cards?],Condition_1,Table2[Did you receive information or advice on Drug use during your visit today?],A297)</f>
        <v>0</v>
      </c>
      <c r="C297" s="17" t="e">
        <f t="shared" si="39"/>
        <v>#DIV/0!</v>
      </c>
      <c r="D297" s="17" t="e">
        <f>B297/(No_who_answered_survey-COUNTIFS(Table2[Do you hold any of the following cards?],Condition_1,Table2[Did you receive information or advice on Drug use during your visit today?],"Not answered")-COUNTIFS(Table2[Do you hold any of the following cards?],Condition_1,Table2[Did you receive information or advice on Drug use during your visit today?],"Not Applicable"))*100</f>
        <v>#DIV/0!</v>
      </c>
    </row>
    <row r="298" spans="1:4">
      <c r="A298" s="15" t="str">
        <f>'Validation List'!AD8</f>
        <v>Not Applicable</v>
      </c>
      <c r="B298" s="16">
        <f>COUNTIFS(Table2[Do you hold any of the following cards?],Condition_1,Table2[Did you receive information or advice on Drug use during your visit today?],A298)</f>
        <v>0</v>
      </c>
      <c r="C298" s="17" t="e">
        <f t="shared" si="39"/>
        <v>#DIV/0!</v>
      </c>
      <c r="D298" s="17"/>
    </row>
    <row r="299" spans="1:4">
      <c r="A299" s="15" t="str">
        <f>'Validation List'!AD15</f>
        <v>Not answered</v>
      </c>
      <c r="B299" s="16">
        <f>COUNTIFS(Table2[Do you hold any of the following cards?],Condition_1,Table2[Did you receive information or advice on Drug use during your visit today?],A299)</f>
        <v>0</v>
      </c>
      <c r="C299" s="17" t="e">
        <f t="shared" si="39"/>
        <v>#DIV/0!</v>
      </c>
      <c r="D299" s="17"/>
    </row>
    <row r="300" spans="1:4">
      <c r="A300" s="15" t="s">
        <v>39</v>
      </c>
      <c r="B300" s="16">
        <f>SUM(B296:B299)</f>
        <v>0</v>
      </c>
      <c r="C300" s="17" t="e">
        <f>SUM(C296:C299)</f>
        <v>#DIV/0!</v>
      </c>
      <c r="D300" s="17" t="e">
        <f>SUM(D296:D299)</f>
        <v>#DIV/0!</v>
      </c>
    </row>
    <row r="301" spans="1:4">
      <c r="A301" s="18"/>
      <c r="B301" s="13"/>
      <c r="C301" s="22"/>
      <c r="D301" s="22"/>
    </row>
    <row r="302" spans="1:4">
      <c r="A302" s="18"/>
      <c r="B302" s="13"/>
      <c r="C302" s="22"/>
      <c r="D302" s="22"/>
    </row>
    <row r="303" spans="1:4" ht="28.5" customHeight="1">
      <c r="A303" s="47" t="str">
        <f>'Validation List'!AE3</f>
        <v>Information or advice received on Other issues during your visit today</v>
      </c>
      <c r="B303" s="48"/>
      <c r="C303" s="48"/>
      <c r="D303" s="49"/>
    </row>
    <row r="304" spans="1:4">
      <c r="A304" s="15"/>
      <c r="B304" s="16" t="s">
        <v>37</v>
      </c>
      <c r="C304" s="17" t="s">
        <v>38</v>
      </c>
      <c r="D304" s="17" t="s">
        <v>42</v>
      </c>
    </row>
    <row r="305" spans="1:4">
      <c r="A305" s="15" t="str">
        <f>'Validation List'!AE6</f>
        <v>Yes</v>
      </c>
      <c r="B305" s="16">
        <f>COUNTIFS(Table2[Do you hold any of the following cards?],Condition_1,Table2[Did you receive other information or advice during your visit today?],A305)</f>
        <v>0</v>
      </c>
      <c r="C305" s="17" t="e">
        <f t="shared" ref="C305:C308" si="40">B305/No_who_answered_survey*100</f>
        <v>#DIV/0!</v>
      </c>
      <c r="D305" s="17" t="e">
        <f>B305/(No_who_answered_survey-COUNTIFS(Table2[Do you hold any of the following cards?],Condition_1,Table2[Did you receive other information or advice during your visit today?],"Not answered")-COUNTIFS(Table2[Do you hold any of the following cards?],Condition_1,Table2[Did you receive other information or advice during your visit today?],"Not Applicable"))*100</f>
        <v>#DIV/0!</v>
      </c>
    </row>
    <row r="306" spans="1:4">
      <c r="A306" s="15" t="str">
        <f>'Validation List'!AE7</f>
        <v>No</v>
      </c>
      <c r="B306" s="16">
        <f>COUNTIFS(Table2[Do you hold any of the following cards?],Condition_1,Table2[Did you receive other information or advice during your visit today?],A306)</f>
        <v>0</v>
      </c>
      <c r="C306" s="17" t="e">
        <f t="shared" si="40"/>
        <v>#DIV/0!</v>
      </c>
      <c r="D306" s="17" t="e">
        <f>B306/(No_who_answered_survey-COUNTIFS(Table2[Do you hold any of the following cards?],Condition_1,Table2[Did you receive other information or advice during your visit today?],"Not answered")-COUNTIFS(Table2[Do you hold any of the following cards?],Condition_1,Table2[Did you receive other information or advice during your visit today?],"Not Applicable"))*100</f>
        <v>#DIV/0!</v>
      </c>
    </row>
    <row r="307" spans="1:4">
      <c r="A307" s="15" t="str">
        <f>'Validation List'!AE8</f>
        <v>Not Applicable</v>
      </c>
      <c r="B307" s="16">
        <f>COUNTIFS(Table2[Do you hold any of the following cards?],Condition_1,Table2[Did you receive other information or advice during your visit today?],A307)</f>
        <v>0</v>
      </c>
      <c r="C307" s="17" t="e">
        <f t="shared" si="40"/>
        <v>#DIV/0!</v>
      </c>
      <c r="D307" s="17"/>
    </row>
    <row r="308" spans="1:4">
      <c r="A308" s="15" t="str">
        <f>'Validation List'!AE15</f>
        <v>Not answered</v>
      </c>
      <c r="B308" s="16">
        <f>COUNTIFS(Table2[Do you hold any of the following cards?],Condition_1,Table2[Did you receive other information or advice during your visit today?],A308)</f>
        <v>0</v>
      </c>
      <c r="C308" s="17" t="e">
        <f t="shared" si="40"/>
        <v>#DIV/0!</v>
      </c>
      <c r="D308" s="17"/>
    </row>
    <row r="309" spans="1:4">
      <c r="A309" s="15" t="s">
        <v>39</v>
      </c>
      <c r="B309" s="16">
        <f>SUM(B305:B308)</f>
        <v>0</v>
      </c>
      <c r="C309" s="17" t="e">
        <f>SUM(C305:C308)</f>
        <v>#DIV/0!</v>
      </c>
      <c r="D309" s="17" t="e">
        <f>SUM(D305:D308)</f>
        <v>#DIV/0!</v>
      </c>
    </row>
    <row r="310" spans="1:4">
      <c r="A310" s="18"/>
      <c r="B310" s="13"/>
      <c r="C310" s="22"/>
      <c r="D310" s="22"/>
    </row>
    <row r="311" spans="1:4">
      <c r="A311" s="18"/>
      <c r="B311" s="13"/>
      <c r="C311" s="22"/>
      <c r="D311" s="22"/>
    </row>
    <row r="312" spans="1:4">
      <c r="A312" s="47" t="str">
        <f>'Validation List'!AF3</f>
        <v>Patient highlighted other areas for information or advice</v>
      </c>
      <c r="B312" s="48"/>
      <c r="C312" s="48"/>
      <c r="D312" s="49"/>
    </row>
    <row r="313" spans="1:4">
      <c r="A313" s="15"/>
      <c r="B313" s="16" t="s">
        <v>37</v>
      </c>
      <c r="C313" s="17" t="s">
        <v>38</v>
      </c>
      <c r="D313" s="17" t="s">
        <v>42</v>
      </c>
    </row>
    <row r="314" spans="1:4">
      <c r="A314" s="15" t="str">
        <f>'Validation List'!AF6</f>
        <v>Yes</v>
      </c>
      <c r="B314" s="16">
        <f>COUNTIFS(Table2[Do you hold any of the following cards?],Condition_1,Table2[Are there other areas that you would appreciate information or advice on?],A314)</f>
        <v>0</v>
      </c>
      <c r="C314" s="17" t="e">
        <f t="shared" ref="C314:C316" si="41">B314/No_who_answered_survey*100</f>
        <v>#DIV/0!</v>
      </c>
      <c r="D314" s="17" t="e">
        <f>B314/(No_who_answered_survey-COUNTIFS(Table2[Do you hold any of the following cards?],Condition_1,Table2[Are there other areas that you would appreciate information or advice on?],"Not answered"))*100</f>
        <v>#DIV/0!</v>
      </c>
    </row>
    <row r="315" spans="1:4">
      <c r="A315" s="15" t="str">
        <f>'Validation List'!AF7</f>
        <v>No</v>
      </c>
      <c r="B315" s="16">
        <f>COUNTIFS(Table2[Do you hold any of the following cards?],Condition_1,Table2[Are there other areas that you would appreciate information or advice on?],A315)</f>
        <v>0</v>
      </c>
      <c r="C315" s="17" t="e">
        <f t="shared" si="41"/>
        <v>#DIV/0!</v>
      </c>
      <c r="D315" s="17" t="e">
        <f>B315/(No_who_answered_survey-COUNTIFS(Table2[Do you hold any of the following cards?],Condition_1,Table2[Are there other areas that you would appreciate information or advice on?],"Not answered"))*100</f>
        <v>#DIV/0!</v>
      </c>
    </row>
    <row r="316" spans="1:4">
      <c r="A316" s="15" t="str">
        <f>'Validation List'!AF15</f>
        <v>Not answered</v>
      </c>
      <c r="B316" s="16">
        <f>COUNTIFS(Table2[Do you hold any of the following cards?],Condition_1,Table2[Are there other areas that you would appreciate information or advice on?],A316)</f>
        <v>0</v>
      </c>
      <c r="C316" s="17" t="e">
        <f t="shared" si="41"/>
        <v>#DIV/0!</v>
      </c>
      <c r="D316" s="17"/>
    </row>
    <row r="317" spans="1:4">
      <c r="A317" s="15" t="s">
        <v>39</v>
      </c>
      <c r="B317" s="16">
        <f>SUM(B314:B316)</f>
        <v>0</v>
      </c>
      <c r="C317" s="17" t="e">
        <f>SUM(C314:C316)</f>
        <v>#DIV/0!</v>
      </c>
      <c r="D317" s="17" t="e">
        <f>SUM(D314:D316)</f>
        <v>#DIV/0!</v>
      </c>
    </row>
    <row r="318" spans="1:4">
      <c r="A318" s="18"/>
      <c r="B318" s="13"/>
      <c r="C318" s="22"/>
      <c r="D318" s="22"/>
    </row>
    <row r="319" spans="1:4">
      <c r="A319" s="18"/>
      <c r="B319" s="13"/>
      <c r="C319" s="22"/>
      <c r="D319" s="22"/>
    </row>
    <row r="320" spans="1:4" ht="27.75" customHeight="1">
      <c r="A320" s="47" t="str">
        <f>'Validation List'!AG3</f>
        <v>Overall patient rating of their appointment on day of survey</v>
      </c>
      <c r="B320" s="48"/>
      <c r="C320" s="48"/>
      <c r="D320" s="49"/>
    </row>
    <row r="321" spans="1:4">
      <c r="A321" s="15"/>
      <c r="B321" s="16" t="s">
        <v>37</v>
      </c>
      <c r="C321" s="17" t="s">
        <v>38</v>
      </c>
      <c r="D321" s="17" t="s">
        <v>42</v>
      </c>
    </row>
    <row r="322" spans="1:4">
      <c r="A322" s="15" t="str">
        <f>'Validation List'!AG6</f>
        <v>Excellent</v>
      </c>
      <c r="B322" s="16">
        <f>COUNTIFS(Table2[Do you hold any of the following cards?],Condition_1,Table2[Overall, how would you rate your experience of your appointment today? Please circle one.],A322)</f>
        <v>0</v>
      </c>
      <c r="C322" s="17" t="e">
        <f t="shared" ref="C322:C327" si="42">B322/No_who_answered_survey*100</f>
        <v>#DIV/0!</v>
      </c>
      <c r="D322" s="17" t="e">
        <f>B322/(No_who_answered_survey-COUNTIFS(Table2[Do you hold any of the following cards?],Condition_1,Table2[Overall, how would you rate your experience of your appointment today? Please circle one.],"Not answered"))*100</f>
        <v>#DIV/0!</v>
      </c>
    </row>
    <row r="323" spans="1:4">
      <c r="A323" s="15" t="str">
        <f>'Validation List'!AG7</f>
        <v>Very Good</v>
      </c>
      <c r="B323" s="16">
        <f>COUNTIFS(Table2[Do you hold any of the following cards?],Condition_1,Table2[Overall, how would you rate your experience of your appointment today? Please circle one.],A323)</f>
        <v>0</v>
      </c>
      <c r="C323" s="17" t="e">
        <f t="shared" si="42"/>
        <v>#DIV/0!</v>
      </c>
      <c r="D323" s="17" t="e">
        <f>B323/(No_who_answered_survey-COUNTIFS(Table2[Do you hold any of the following cards?],Condition_1,Table2[Overall, how would you rate your experience of your appointment today? Please circle one.],"Not answered"))*100</f>
        <v>#DIV/0!</v>
      </c>
    </row>
    <row r="324" spans="1:4">
      <c r="A324" s="15" t="str">
        <f>'Validation List'!AG8</f>
        <v>Good</v>
      </c>
      <c r="B324" s="16">
        <f>COUNTIFS(Table2[Do you hold any of the following cards?],Condition_1,Table2[Overall, how would you rate your experience of your appointment today? Please circle one.],A324)</f>
        <v>0</v>
      </c>
      <c r="C324" s="17" t="e">
        <f t="shared" si="42"/>
        <v>#DIV/0!</v>
      </c>
      <c r="D324" s="17" t="e">
        <f>B324/(No_who_answered_survey-COUNTIFS(Table2[Do you hold any of the following cards?],Condition_1,Table2[Overall, how would you rate your experience of your appointment today? Please circle one.],"Not answered"))*100</f>
        <v>#DIV/0!</v>
      </c>
    </row>
    <row r="325" spans="1:4">
      <c r="A325" s="15" t="str">
        <f>'Validation List'!AG9</f>
        <v xml:space="preserve">Poor </v>
      </c>
      <c r="B325" s="16">
        <f>COUNTIFS(Table2[Do you hold any of the following cards?],Condition_1,Table2[Overall, how would you rate your experience of your appointment today? Please circle one.],A325)</f>
        <v>0</v>
      </c>
      <c r="C325" s="17" t="e">
        <f t="shared" si="42"/>
        <v>#DIV/0!</v>
      </c>
      <c r="D325" s="17" t="e">
        <f>B325/(No_who_answered_survey-COUNTIFS(Table2[Do you hold any of the following cards?],Condition_1,Table2[Overall, how would you rate your experience of your appointment today? Please circle one.],"Not answered"))*100</f>
        <v>#DIV/0!</v>
      </c>
    </row>
    <row r="326" spans="1:4">
      <c r="A326" s="15" t="str">
        <f>'Validation List'!AG10</f>
        <v>Very Poor</v>
      </c>
      <c r="B326" s="16">
        <f>COUNTIFS(Table2[Do you hold any of the following cards?],Condition_1,Table2[Overall, how would you rate your experience of your appointment today? Please circle one.],A326)</f>
        <v>0</v>
      </c>
      <c r="C326" s="17" t="e">
        <f t="shared" si="42"/>
        <v>#DIV/0!</v>
      </c>
      <c r="D326" s="17" t="e">
        <f>B326/(No_who_answered_survey-COUNTIFS(Table2[Do you hold any of the following cards?],Condition_1,Table2[Overall, how would you rate your experience of your appointment today? Please circle one.],"Not answered"))*100</f>
        <v>#DIV/0!</v>
      </c>
    </row>
    <row r="327" spans="1:4">
      <c r="A327" s="15" t="str">
        <f>'Validation List'!AG15</f>
        <v>Not answered</v>
      </c>
      <c r="B327" s="16">
        <f>COUNTIFS(Table2[Do you hold any of the following cards?],Condition_1,Table2[Overall, how would you rate your experience of your appointment today? Please circle one.],A327)</f>
        <v>0</v>
      </c>
      <c r="C327" s="17" t="e">
        <f t="shared" si="42"/>
        <v>#DIV/0!</v>
      </c>
      <c r="D327" s="17"/>
    </row>
    <row r="328" spans="1:4">
      <c r="A328" s="15" t="s">
        <v>39</v>
      </c>
      <c r="B328" s="16">
        <f>SUM(B322:B327)</f>
        <v>0</v>
      </c>
      <c r="C328" s="17" t="e">
        <f>SUM(C322:C327)</f>
        <v>#DIV/0!</v>
      </c>
      <c r="D328" s="17" t="e">
        <f>SUM(D322:D327)</f>
        <v>#DIV/0!</v>
      </c>
    </row>
    <row r="329" spans="1:4">
      <c r="A329" s="18"/>
      <c r="B329" s="13"/>
      <c r="C329" s="22"/>
      <c r="D329" s="22"/>
    </row>
    <row r="330" spans="1:4">
      <c r="A330" s="18"/>
      <c r="B330" s="13"/>
      <c r="C330" s="22"/>
      <c r="D330" s="22"/>
    </row>
    <row r="331" spans="1:4">
      <c r="A331" s="47" t="str">
        <f>'Validation List'!AH3</f>
        <v>Patient awareness of The National Healthcare Charter, ‘You and Your Health Service’</v>
      </c>
      <c r="B331" s="48"/>
      <c r="C331" s="48"/>
      <c r="D331" s="49"/>
    </row>
    <row r="332" spans="1:4">
      <c r="A332" s="15"/>
      <c r="B332" s="16" t="s">
        <v>37</v>
      </c>
      <c r="C332" s="17" t="s">
        <v>38</v>
      </c>
      <c r="D332" s="17" t="s">
        <v>42</v>
      </c>
    </row>
    <row r="333" spans="1:4">
      <c r="A333" s="15" t="str">
        <f>'Validation List'!AH6</f>
        <v>Yes</v>
      </c>
      <c r="B333" s="16">
        <f>COUNTIFS(Table2[Do you hold any of the following cards?],Condition_1,Table2[Are you aware of The National Healthcare Charter, ‘You and Your Health Service’:],A333)</f>
        <v>0</v>
      </c>
      <c r="C333" s="17" t="e">
        <f t="shared" ref="C333:C335" si="43">B333/No_who_answered_survey*100</f>
        <v>#DIV/0!</v>
      </c>
      <c r="D333" s="17" t="e">
        <f>B333/(No_who_answered_survey-COUNTIFS(Table2[Do you hold any of the following cards?],Condition_1,Table2[Are you aware of The National Healthcare Charter, ‘You and Your Health Service’:],"Not answered"))*100</f>
        <v>#DIV/0!</v>
      </c>
    </row>
    <row r="334" spans="1:4">
      <c r="A334" s="15" t="str">
        <f>'Validation List'!AH7</f>
        <v>No</v>
      </c>
      <c r="B334" s="16">
        <f>COUNTIFS(Table2[Do you hold any of the following cards?],Condition_1,Table2[Are you aware of The National Healthcare Charter, ‘You and Your Health Service’:],A334)</f>
        <v>0</v>
      </c>
      <c r="C334" s="17" t="e">
        <f t="shared" si="43"/>
        <v>#DIV/0!</v>
      </c>
      <c r="D334" s="17" t="e">
        <f>B334/(No_who_answered_survey-COUNTIFS(Table2[Do you hold any of the following cards?],Condition_1,Table2[Are you aware of The National Healthcare Charter, ‘You and Your Health Service’:],"Not answered"))*100</f>
        <v>#DIV/0!</v>
      </c>
    </row>
    <row r="335" spans="1:4">
      <c r="A335" s="15" t="str">
        <f>'Validation List'!AH15</f>
        <v>Not answered</v>
      </c>
      <c r="B335" s="16">
        <f>COUNTIFS(Table2[Do you hold any of the following cards?],Condition_1,Table2[Are you aware of The National Healthcare Charter, ‘You and Your Health Service’:],A335)</f>
        <v>0</v>
      </c>
      <c r="C335" s="17" t="e">
        <f t="shared" si="43"/>
        <v>#DIV/0!</v>
      </c>
      <c r="D335" s="17"/>
    </row>
    <row r="336" spans="1:4">
      <c r="A336" s="15" t="s">
        <v>39</v>
      </c>
      <c r="B336" s="16">
        <f>SUM(B333:B335)</f>
        <v>0</v>
      </c>
      <c r="C336" s="17" t="e">
        <f>SUM(C333:C335)</f>
        <v>#DIV/0!</v>
      </c>
      <c r="D336" s="17" t="e">
        <f>SUM(D333:D335)</f>
        <v>#DIV/0!</v>
      </c>
    </row>
    <row r="337" spans="1:4">
      <c r="A337" s="18"/>
      <c r="B337" s="13"/>
      <c r="C337" s="22"/>
      <c r="D337" s="22"/>
    </row>
    <row r="338" spans="1:4">
      <c r="A338" s="18"/>
      <c r="B338" s="13"/>
      <c r="C338" s="22"/>
      <c r="D338" s="22"/>
    </row>
    <row r="339" spans="1:4">
      <c r="A339" s="47" t="str">
        <f>'Validation List'!AI3</f>
        <v>Patient awareness of ‘Your Service Your Say’ (HSE Complaints Process)</v>
      </c>
      <c r="B339" s="48"/>
      <c r="C339" s="48"/>
      <c r="D339" s="49"/>
    </row>
    <row r="340" spans="1:4">
      <c r="A340" s="15"/>
      <c r="B340" s="16" t="s">
        <v>37</v>
      </c>
      <c r="C340" s="17" t="s">
        <v>38</v>
      </c>
      <c r="D340" s="17" t="s">
        <v>42</v>
      </c>
    </row>
    <row r="341" spans="1:4">
      <c r="A341" s="15" t="str">
        <f>'Validation List'!AI6</f>
        <v>Yes</v>
      </c>
      <c r="B341" s="16">
        <f>COUNTIFS(Table2[Do you hold any of the following cards?],Condition_1,Table2[Are you aware of ‘Your Service Your Say’ (HSE Complaints Process):],A341)</f>
        <v>0</v>
      </c>
      <c r="C341" s="17" t="e">
        <f t="shared" ref="C341:C343" si="44">B341/No_who_answered_survey*100</f>
        <v>#DIV/0!</v>
      </c>
      <c r="D341" s="17" t="e">
        <f>B341/(No_who_answered_survey-COUNTIFS(Table2[Do you hold any of the following cards?],Condition_1,Table2[Are you aware of ‘Your Service Your Say’ (HSE Complaints Process):],"Not answered"))*100</f>
        <v>#DIV/0!</v>
      </c>
    </row>
    <row r="342" spans="1:4">
      <c r="A342" s="15" t="str">
        <f>'Validation List'!AI7</f>
        <v>No</v>
      </c>
      <c r="B342" s="16">
        <f>COUNTIFS(Table2[Do you hold any of the following cards?],Condition_1,Table2[Are you aware of ‘Your Service Your Say’ (HSE Complaints Process):],A342)</f>
        <v>0</v>
      </c>
      <c r="C342" s="17" t="e">
        <f t="shared" si="44"/>
        <v>#DIV/0!</v>
      </c>
      <c r="D342" s="17" t="e">
        <f>B342/(No_who_answered_survey-COUNTIFS(Table2[Do you hold any of the following cards?],Condition_1,Table2[Are you aware of ‘Your Service Your Say’ (HSE Complaints Process):],"Not answered"))*100</f>
        <v>#DIV/0!</v>
      </c>
    </row>
    <row r="343" spans="1:4">
      <c r="A343" s="15" t="str">
        <f>'Validation List'!AI15</f>
        <v>Not answered</v>
      </c>
      <c r="B343" s="16">
        <f>COUNTIFS(Table2[Do you hold any of the following cards?],Condition_1,Table2[Are you aware of ‘Your Service Your Say’ (HSE Complaints Process):],A343)</f>
        <v>0</v>
      </c>
      <c r="C343" s="17" t="e">
        <f t="shared" si="44"/>
        <v>#DIV/0!</v>
      </c>
      <c r="D343" s="17"/>
    </row>
    <row r="344" spans="1:4">
      <c r="A344" s="15" t="s">
        <v>39</v>
      </c>
      <c r="B344" s="16">
        <f>SUM(B341:B343)</f>
        <v>0</v>
      </c>
      <c r="C344" s="17" t="e">
        <f>SUM(C341:C343)</f>
        <v>#DIV/0!</v>
      </c>
      <c r="D344" s="17" t="e">
        <f>SUM(D341:D343)</f>
        <v>#DIV/0!</v>
      </c>
    </row>
    <row r="345" spans="1:4">
      <c r="A345" s="19"/>
      <c r="B345" s="20"/>
      <c r="C345" s="21"/>
      <c r="D345" s="21"/>
    </row>
    <row r="346" spans="1:4">
      <c r="A346" s="18"/>
      <c r="B346" s="13"/>
      <c r="C346" s="22"/>
      <c r="D346" s="22"/>
    </row>
    <row r="347" spans="1:4">
      <c r="A347" s="18"/>
      <c r="B347" s="13"/>
      <c r="C347" s="22"/>
      <c r="D347" s="13"/>
    </row>
    <row r="348" spans="1:4">
      <c r="A348" s="18"/>
      <c r="B348" s="13"/>
      <c r="C348" s="22"/>
      <c r="D348" s="13"/>
    </row>
    <row r="349" spans="1:4">
      <c r="A349" s="18"/>
      <c r="B349" s="13"/>
      <c r="C349" s="22"/>
      <c r="D349" s="13"/>
    </row>
    <row r="350" spans="1:4">
      <c r="A350" s="18"/>
      <c r="B350" s="13"/>
      <c r="C350" s="22"/>
      <c r="D350" s="13"/>
    </row>
    <row r="351" spans="1:4">
      <c r="A351" s="18"/>
      <c r="B351" s="13"/>
      <c r="C351" s="22"/>
      <c r="D351" s="13"/>
    </row>
    <row r="352" spans="1:4">
      <c r="A352" s="18"/>
      <c r="B352" s="13"/>
      <c r="C352" s="22"/>
      <c r="D352" s="13"/>
    </row>
    <row r="353" spans="1:4">
      <c r="A353" s="18"/>
      <c r="B353" s="13"/>
      <c r="C353" s="22"/>
      <c r="D353" s="13"/>
    </row>
    <row r="354" spans="1:4">
      <c r="A354" s="18"/>
      <c r="B354" s="13"/>
      <c r="C354" s="22"/>
      <c r="D354" s="13"/>
    </row>
    <row r="355" spans="1:4">
      <c r="A355" s="18"/>
      <c r="B355" s="13"/>
      <c r="C355" s="22"/>
      <c r="D355" s="13"/>
    </row>
    <row r="356" spans="1:4">
      <c r="A356" s="18"/>
      <c r="B356" s="13"/>
      <c r="C356" s="22"/>
      <c r="D356" s="13"/>
    </row>
    <row r="357" spans="1:4">
      <c r="A357" s="18"/>
      <c r="B357" s="13"/>
      <c r="C357" s="22"/>
      <c r="D357" s="13"/>
    </row>
    <row r="358" spans="1:4">
      <c r="A358" s="18"/>
      <c r="B358" s="13"/>
      <c r="C358" s="22"/>
      <c r="D358" s="13"/>
    </row>
    <row r="359" spans="1:4">
      <c r="A359" s="18"/>
      <c r="B359" s="13"/>
      <c r="C359" s="22"/>
      <c r="D359" s="13"/>
    </row>
    <row r="360" spans="1:4">
      <c r="A360" s="18"/>
      <c r="B360" s="13"/>
      <c r="C360" s="22"/>
      <c r="D360" s="13"/>
    </row>
    <row r="361" spans="1:4">
      <c r="A361" s="18"/>
      <c r="B361" s="13"/>
      <c r="C361" s="22"/>
      <c r="D361" s="13"/>
    </row>
    <row r="362" spans="1:4">
      <c r="A362" s="18"/>
      <c r="B362" s="13"/>
      <c r="C362" s="22"/>
      <c r="D362" s="13"/>
    </row>
    <row r="363" spans="1:4">
      <c r="A363" s="18"/>
      <c r="B363" s="13"/>
      <c r="C363" s="22"/>
      <c r="D363" s="13"/>
    </row>
    <row r="364" spans="1:4">
      <c r="A364" s="18"/>
      <c r="B364" s="13"/>
      <c r="C364" s="22"/>
      <c r="D364" s="13"/>
    </row>
    <row r="365" spans="1:4">
      <c r="A365" s="18"/>
      <c r="B365" s="13"/>
      <c r="C365" s="22"/>
      <c r="D365" s="13"/>
    </row>
    <row r="366" spans="1:4">
      <c r="A366" s="18"/>
      <c r="B366" s="13"/>
      <c r="C366" s="22"/>
      <c r="D366" s="13"/>
    </row>
    <row r="367" spans="1:4">
      <c r="A367" s="18"/>
      <c r="B367" s="13"/>
      <c r="C367" s="22"/>
      <c r="D367" s="13"/>
    </row>
    <row r="368" spans="1:4">
      <c r="A368" s="18"/>
      <c r="B368" s="13"/>
      <c r="C368" s="22"/>
      <c r="D368" s="13"/>
    </row>
    <row r="369" spans="1:4">
      <c r="A369" s="18"/>
      <c r="B369" s="13"/>
      <c r="C369" s="22"/>
      <c r="D369" s="13"/>
    </row>
    <row r="370" spans="1:4">
      <c r="A370" s="18"/>
      <c r="B370" s="13"/>
      <c r="C370" s="22"/>
      <c r="D370" s="13"/>
    </row>
    <row r="371" spans="1:4">
      <c r="A371" s="18"/>
      <c r="B371" s="13"/>
      <c r="C371" s="22"/>
      <c r="D371" s="13"/>
    </row>
    <row r="372" spans="1:4">
      <c r="A372" s="18"/>
      <c r="B372" s="13"/>
      <c r="C372" s="22"/>
      <c r="D372" s="13"/>
    </row>
    <row r="373" spans="1:4">
      <c r="A373" s="18"/>
      <c r="B373" s="13"/>
      <c r="C373" s="22"/>
      <c r="D373" s="13"/>
    </row>
    <row r="374" spans="1:4">
      <c r="A374" s="18"/>
      <c r="B374" s="13"/>
      <c r="C374" s="22"/>
      <c r="D374" s="13"/>
    </row>
    <row r="375" spans="1:4">
      <c r="A375" s="18"/>
      <c r="B375" s="13"/>
      <c r="C375" s="22"/>
      <c r="D375" s="13"/>
    </row>
    <row r="376" spans="1:4">
      <c r="A376" s="18"/>
      <c r="B376" s="13"/>
      <c r="C376" s="22"/>
      <c r="D376" s="13"/>
    </row>
    <row r="377" spans="1:4">
      <c r="A377" s="18"/>
      <c r="B377" s="13"/>
      <c r="C377" s="22"/>
      <c r="D377" s="13"/>
    </row>
    <row r="378" spans="1:4">
      <c r="A378" s="18"/>
      <c r="B378" s="13"/>
      <c r="C378" s="22"/>
      <c r="D378" s="13"/>
    </row>
    <row r="379" spans="1:4">
      <c r="A379" s="18"/>
      <c r="B379" s="13"/>
      <c r="C379" s="22"/>
      <c r="D379" s="13"/>
    </row>
    <row r="380" spans="1:4">
      <c r="A380" s="18"/>
      <c r="B380" s="13"/>
      <c r="C380" s="22"/>
      <c r="D380" s="13"/>
    </row>
    <row r="381" spans="1:4">
      <c r="A381" s="18"/>
      <c r="B381" s="13"/>
      <c r="C381" s="22"/>
      <c r="D381" s="13"/>
    </row>
    <row r="382" spans="1:4">
      <c r="A382" s="18"/>
      <c r="B382" s="13"/>
      <c r="C382" s="22"/>
      <c r="D382" s="13"/>
    </row>
    <row r="383" spans="1:4">
      <c r="A383" s="18"/>
      <c r="B383" s="13"/>
      <c r="C383" s="22"/>
      <c r="D383" s="13"/>
    </row>
    <row r="384" spans="1:4">
      <c r="A384" s="18"/>
      <c r="B384" s="13"/>
      <c r="C384" s="22"/>
      <c r="D384" s="13"/>
    </row>
    <row r="385" spans="1:8">
      <c r="A385" s="18"/>
      <c r="B385" s="13"/>
      <c r="C385" s="22"/>
      <c r="D385" s="13"/>
    </row>
    <row r="386" spans="1:8">
      <c r="A386" s="18"/>
      <c r="B386" s="13"/>
      <c r="C386" s="22"/>
      <c r="D386" s="13"/>
    </row>
    <row r="387" spans="1:8">
      <c r="A387" s="18"/>
      <c r="B387" s="13"/>
      <c r="C387" s="22"/>
      <c r="D387" s="13"/>
    </row>
    <row r="388" spans="1:8">
      <c r="A388" s="18"/>
      <c r="B388" s="13"/>
      <c r="C388" s="22"/>
      <c r="D388" s="13"/>
    </row>
    <row r="389" spans="1:8">
      <c r="A389" s="18"/>
      <c r="B389" s="13"/>
      <c r="C389" s="22"/>
      <c r="D389" s="13"/>
    </row>
    <row r="390" spans="1:8">
      <c r="A390" s="18"/>
      <c r="B390" s="13"/>
      <c r="C390" s="22"/>
      <c r="D390" s="13"/>
    </row>
    <row r="391" spans="1:8">
      <c r="A391" s="18"/>
      <c r="B391" s="13"/>
      <c r="C391" s="22"/>
      <c r="D391" s="13"/>
    </row>
    <row r="392" spans="1:8">
      <c r="A392" s="18"/>
      <c r="B392" s="13"/>
      <c r="C392" s="22"/>
      <c r="D392" s="13"/>
    </row>
    <row r="393" spans="1:8">
      <c r="A393" s="18"/>
      <c r="B393" s="13"/>
      <c r="C393" s="22"/>
      <c r="D393" s="13"/>
    </row>
    <row r="394" spans="1:8">
      <c r="A394" s="18"/>
      <c r="B394" s="13"/>
      <c r="C394" s="22"/>
      <c r="D394" s="13"/>
    </row>
    <row r="395" spans="1:8">
      <c r="A395" s="18"/>
      <c r="B395" s="18"/>
      <c r="C395" s="23"/>
      <c r="D395" s="18"/>
      <c r="E395" s="26"/>
      <c r="F395" s="26"/>
      <c r="G395" s="26"/>
      <c r="H395" s="26"/>
    </row>
    <row r="396" spans="1:8">
      <c r="A396" s="18"/>
      <c r="B396" s="13"/>
      <c r="C396" s="22"/>
      <c r="D396" s="13"/>
    </row>
    <row r="397" spans="1:8">
      <c r="A397" s="18"/>
      <c r="B397" s="13"/>
      <c r="C397" s="22"/>
      <c r="D397" s="13"/>
    </row>
    <row r="398" spans="1:8">
      <c r="A398" s="18"/>
      <c r="B398" s="13"/>
      <c r="C398" s="22"/>
      <c r="D398" s="13"/>
    </row>
    <row r="399" spans="1:8">
      <c r="A399" s="18"/>
      <c r="B399" s="13"/>
      <c r="C399" s="22"/>
      <c r="D399" s="13"/>
    </row>
    <row r="400" spans="1:8">
      <c r="A400" s="18"/>
      <c r="B400" s="13"/>
      <c r="C400" s="22"/>
      <c r="D400" s="13"/>
    </row>
    <row r="401" spans="1:4">
      <c r="A401" s="18"/>
      <c r="B401" s="13"/>
      <c r="C401" s="22"/>
      <c r="D401" s="13"/>
    </row>
    <row r="402" spans="1:4">
      <c r="A402" s="18"/>
      <c r="B402" s="13"/>
      <c r="C402" s="22"/>
      <c r="D402" s="13"/>
    </row>
    <row r="403" spans="1:4">
      <c r="A403" s="18"/>
      <c r="B403" s="13"/>
      <c r="C403" s="22"/>
      <c r="D403" s="13"/>
    </row>
    <row r="404" spans="1:4">
      <c r="A404" s="18"/>
      <c r="B404" s="13"/>
      <c r="C404" s="22"/>
      <c r="D404" s="13"/>
    </row>
    <row r="405" spans="1:4">
      <c r="A405" s="18"/>
      <c r="B405" s="13"/>
      <c r="C405" s="22"/>
      <c r="D405" s="13"/>
    </row>
    <row r="406" spans="1:4">
      <c r="A406" s="18"/>
      <c r="B406" s="13"/>
      <c r="C406" s="22"/>
      <c r="D406" s="13"/>
    </row>
    <row r="407" spans="1:4">
      <c r="A407" s="18"/>
      <c r="B407" s="13"/>
      <c r="C407" s="22"/>
      <c r="D407" s="13"/>
    </row>
    <row r="408" spans="1:4">
      <c r="A408" s="18"/>
      <c r="B408" s="13"/>
      <c r="C408" s="22"/>
      <c r="D408" s="13"/>
    </row>
    <row r="409" spans="1:4">
      <c r="A409" s="18"/>
      <c r="B409" s="13"/>
      <c r="C409" s="22"/>
      <c r="D409" s="13"/>
    </row>
    <row r="410" spans="1:4">
      <c r="A410" s="18"/>
      <c r="B410" s="13"/>
      <c r="C410" s="22"/>
      <c r="D410" s="13"/>
    </row>
    <row r="411" spans="1:4">
      <c r="A411" s="18"/>
      <c r="B411" s="13"/>
      <c r="C411" s="22"/>
      <c r="D411" s="13"/>
    </row>
    <row r="412" spans="1:4">
      <c r="A412" s="18"/>
      <c r="B412" s="13"/>
      <c r="C412" s="22"/>
      <c r="D412" s="13"/>
    </row>
    <row r="413" spans="1:4">
      <c r="A413" s="18"/>
      <c r="B413" s="13"/>
      <c r="C413" s="22"/>
      <c r="D413" s="13"/>
    </row>
    <row r="414" spans="1:4">
      <c r="A414" s="18"/>
      <c r="B414" s="13"/>
      <c r="C414" s="22"/>
      <c r="D414" s="13"/>
    </row>
    <row r="415" spans="1:4">
      <c r="A415" s="18"/>
      <c r="B415" s="13"/>
      <c r="C415" s="22"/>
      <c r="D415" s="13"/>
    </row>
    <row r="416" spans="1:4">
      <c r="A416" s="18"/>
      <c r="B416" s="13"/>
      <c r="C416" s="22"/>
      <c r="D416" s="13"/>
    </row>
    <row r="417" spans="1:4">
      <c r="A417" s="18"/>
      <c r="B417" s="13"/>
      <c r="C417" s="22"/>
      <c r="D417" s="13"/>
    </row>
    <row r="418" spans="1:4">
      <c r="A418" s="18"/>
      <c r="B418" s="13"/>
      <c r="C418" s="22"/>
      <c r="D418" s="13"/>
    </row>
    <row r="419" spans="1:4">
      <c r="A419" s="18"/>
      <c r="B419" s="13"/>
      <c r="C419" s="22"/>
      <c r="D419" s="13"/>
    </row>
    <row r="420" spans="1:4">
      <c r="A420" s="18"/>
      <c r="B420" s="13"/>
      <c r="C420" s="22"/>
      <c r="D420" s="13"/>
    </row>
    <row r="421" spans="1:4">
      <c r="A421" s="18"/>
      <c r="B421" s="13"/>
      <c r="C421" s="22"/>
      <c r="D421" s="13"/>
    </row>
    <row r="422" spans="1:4">
      <c r="A422" s="18"/>
      <c r="B422" s="13"/>
      <c r="C422" s="22"/>
      <c r="D422" s="13"/>
    </row>
    <row r="423" spans="1:4">
      <c r="A423" s="18"/>
      <c r="B423" s="13"/>
      <c r="C423" s="22"/>
      <c r="D423" s="13"/>
    </row>
    <row r="424" spans="1:4">
      <c r="A424" s="18"/>
      <c r="B424" s="13"/>
      <c r="C424" s="22"/>
      <c r="D424" s="13"/>
    </row>
    <row r="425" spans="1:4">
      <c r="A425" s="18"/>
      <c r="B425" s="13"/>
      <c r="C425" s="22"/>
      <c r="D425" s="13"/>
    </row>
    <row r="426" spans="1:4">
      <c r="A426" s="18"/>
      <c r="B426" s="13"/>
      <c r="C426" s="22"/>
      <c r="D426" s="13"/>
    </row>
    <row r="427" spans="1:4">
      <c r="A427" s="18"/>
      <c r="B427" s="13"/>
      <c r="C427" s="22"/>
      <c r="D427" s="13"/>
    </row>
    <row r="428" spans="1:4">
      <c r="A428" s="18"/>
      <c r="B428" s="13"/>
      <c r="C428" s="22"/>
      <c r="D428" s="13"/>
    </row>
    <row r="429" spans="1:4">
      <c r="A429" s="18"/>
      <c r="B429" s="13"/>
      <c r="C429" s="22"/>
      <c r="D429" s="13"/>
    </row>
    <row r="430" spans="1:4">
      <c r="A430" s="18"/>
      <c r="B430" s="13"/>
      <c r="C430" s="22"/>
      <c r="D430" s="13"/>
    </row>
    <row r="431" spans="1:4">
      <c r="A431" s="18"/>
      <c r="B431" s="13"/>
      <c r="C431" s="22"/>
      <c r="D431" s="13"/>
    </row>
    <row r="432" spans="1:4">
      <c r="A432" s="18"/>
      <c r="B432" s="13"/>
      <c r="C432" s="22"/>
      <c r="D432" s="13"/>
    </row>
    <row r="433" spans="1:4">
      <c r="A433" s="18"/>
      <c r="B433" s="13"/>
      <c r="C433" s="22"/>
      <c r="D433" s="13"/>
    </row>
    <row r="434" spans="1:4">
      <c r="A434" s="18"/>
      <c r="B434" s="13"/>
      <c r="C434" s="22"/>
      <c r="D434" s="13"/>
    </row>
    <row r="435" spans="1:4">
      <c r="A435" s="18"/>
      <c r="B435" s="13"/>
      <c r="C435" s="22"/>
      <c r="D435" s="13"/>
    </row>
    <row r="436" spans="1:4">
      <c r="A436" s="18"/>
      <c r="B436" s="13"/>
      <c r="C436" s="22"/>
      <c r="D436" s="13"/>
    </row>
    <row r="437" spans="1:4">
      <c r="A437" s="18"/>
      <c r="B437" s="13"/>
      <c r="C437" s="22"/>
      <c r="D437" s="13"/>
    </row>
    <row r="438" spans="1:4">
      <c r="A438" s="18"/>
      <c r="B438" s="13"/>
      <c r="C438" s="22"/>
      <c r="D438" s="13"/>
    </row>
    <row r="439" spans="1:4">
      <c r="A439" s="18"/>
      <c r="B439" s="13"/>
      <c r="C439" s="22"/>
      <c r="D439" s="13"/>
    </row>
    <row r="440" spans="1:4">
      <c r="A440" s="18"/>
      <c r="B440" s="13"/>
      <c r="C440" s="22"/>
      <c r="D440" s="13"/>
    </row>
    <row r="441" spans="1:4">
      <c r="A441" s="18"/>
      <c r="B441" s="13"/>
      <c r="C441" s="22"/>
      <c r="D441" s="13"/>
    </row>
    <row r="442" spans="1:4">
      <c r="A442" s="18"/>
      <c r="B442" s="13"/>
      <c r="C442" s="22"/>
      <c r="D442" s="13"/>
    </row>
    <row r="443" spans="1:4">
      <c r="A443" s="18"/>
      <c r="B443" s="13"/>
      <c r="C443" s="22"/>
      <c r="D443" s="13"/>
    </row>
    <row r="444" spans="1:4">
      <c r="A444" s="18"/>
      <c r="B444" s="13"/>
      <c r="C444" s="22"/>
      <c r="D444" s="13"/>
    </row>
    <row r="445" spans="1:4">
      <c r="A445" s="18"/>
      <c r="B445" s="13"/>
      <c r="C445" s="22"/>
      <c r="D445" s="13"/>
    </row>
    <row r="446" spans="1:4">
      <c r="A446" s="18"/>
      <c r="B446" s="13"/>
      <c r="C446" s="22"/>
      <c r="D446" s="13"/>
    </row>
    <row r="447" spans="1:4">
      <c r="A447" s="18"/>
      <c r="B447" s="13"/>
      <c r="C447" s="22"/>
      <c r="D447" s="13"/>
    </row>
    <row r="448" spans="1:4">
      <c r="A448" s="18"/>
      <c r="B448" s="13"/>
      <c r="C448" s="22"/>
      <c r="D448" s="13"/>
    </row>
    <row r="449" spans="1:4">
      <c r="A449" s="18"/>
      <c r="B449" s="13"/>
      <c r="C449" s="22"/>
      <c r="D449" s="13"/>
    </row>
    <row r="450" spans="1:4">
      <c r="A450" s="18"/>
      <c r="B450" s="13"/>
      <c r="C450" s="22"/>
      <c r="D450" s="13"/>
    </row>
    <row r="451" spans="1:4">
      <c r="A451" s="18"/>
      <c r="B451" s="13"/>
      <c r="C451" s="22"/>
      <c r="D451" s="13"/>
    </row>
    <row r="452" spans="1:4">
      <c r="A452" s="18"/>
      <c r="B452" s="13"/>
      <c r="C452" s="22"/>
      <c r="D452" s="13"/>
    </row>
    <row r="453" spans="1:4">
      <c r="A453" s="18"/>
      <c r="B453" s="13"/>
      <c r="C453" s="22"/>
      <c r="D453" s="13"/>
    </row>
    <row r="454" spans="1:4">
      <c r="A454" s="18"/>
      <c r="B454" s="13"/>
      <c r="C454" s="22"/>
      <c r="D454" s="13"/>
    </row>
    <row r="455" spans="1:4">
      <c r="A455" s="18"/>
      <c r="B455" s="13"/>
      <c r="C455" s="22"/>
      <c r="D455" s="13"/>
    </row>
    <row r="456" spans="1:4">
      <c r="A456" s="18"/>
      <c r="B456" s="13"/>
      <c r="C456" s="22"/>
      <c r="D456" s="13"/>
    </row>
    <row r="457" spans="1:4">
      <c r="A457" s="18"/>
      <c r="B457" s="13"/>
      <c r="C457" s="22"/>
      <c r="D457" s="13"/>
    </row>
    <row r="458" spans="1:4">
      <c r="A458" s="18"/>
      <c r="B458" s="13"/>
      <c r="C458" s="22"/>
      <c r="D458" s="13"/>
    </row>
    <row r="459" spans="1:4">
      <c r="A459" s="18"/>
      <c r="B459" s="13"/>
      <c r="C459" s="22"/>
      <c r="D459" s="13"/>
    </row>
    <row r="460" spans="1:4">
      <c r="A460" s="18"/>
      <c r="B460" s="13"/>
      <c r="C460" s="22"/>
      <c r="D460" s="13"/>
    </row>
    <row r="461" spans="1:4">
      <c r="A461" s="18"/>
      <c r="B461" s="13"/>
      <c r="C461" s="22"/>
      <c r="D461" s="13"/>
    </row>
    <row r="462" spans="1:4">
      <c r="A462" s="18"/>
      <c r="B462" s="13"/>
      <c r="C462" s="22"/>
      <c r="D462" s="13"/>
    </row>
    <row r="463" spans="1:4">
      <c r="A463" s="18"/>
      <c r="B463" s="13"/>
      <c r="C463" s="22"/>
      <c r="D463" s="13"/>
    </row>
    <row r="464" spans="1:4">
      <c r="A464" s="18"/>
      <c r="B464" s="13"/>
      <c r="C464" s="22"/>
      <c r="D464" s="13"/>
    </row>
    <row r="465" spans="1:4">
      <c r="A465" s="18"/>
      <c r="B465" s="13"/>
      <c r="C465" s="22"/>
      <c r="D465" s="13"/>
    </row>
    <row r="466" spans="1:4">
      <c r="A466" s="18"/>
      <c r="B466" s="13"/>
      <c r="C466" s="22"/>
      <c r="D466" s="13"/>
    </row>
    <row r="467" spans="1:4">
      <c r="A467" s="18"/>
      <c r="B467" s="13"/>
      <c r="C467" s="22"/>
      <c r="D467" s="13"/>
    </row>
    <row r="468" spans="1:4">
      <c r="A468" s="18"/>
      <c r="B468" s="13"/>
      <c r="C468" s="22"/>
      <c r="D468" s="13"/>
    </row>
    <row r="469" spans="1:4">
      <c r="A469" s="18"/>
      <c r="B469" s="13"/>
      <c r="C469" s="22"/>
      <c r="D469" s="13"/>
    </row>
    <row r="470" spans="1:4">
      <c r="A470" s="18"/>
      <c r="B470" s="13"/>
      <c r="C470" s="22"/>
      <c r="D470" s="13"/>
    </row>
    <row r="471" spans="1:4">
      <c r="A471" s="18"/>
      <c r="B471" s="13"/>
      <c r="C471" s="22"/>
      <c r="D471" s="13"/>
    </row>
    <row r="472" spans="1:4">
      <c r="A472" s="18"/>
      <c r="B472" s="13"/>
      <c r="C472" s="22"/>
      <c r="D472" s="13"/>
    </row>
    <row r="473" spans="1:4">
      <c r="A473" s="18"/>
      <c r="B473" s="13"/>
      <c r="C473" s="22"/>
      <c r="D473" s="13"/>
    </row>
    <row r="474" spans="1:4">
      <c r="A474" s="18"/>
      <c r="B474" s="13"/>
      <c r="C474" s="22"/>
      <c r="D474" s="13"/>
    </row>
    <row r="475" spans="1:4">
      <c r="A475" s="18"/>
      <c r="B475" s="13"/>
      <c r="C475" s="22"/>
      <c r="D475" s="13"/>
    </row>
    <row r="476" spans="1:4">
      <c r="A476" s="18"/>
      <c r="B476" s="13"/>
      <c r="C476" s="22"/>
      <c r="D476" s="13"/>
    </row>
    <row r="477" spans="1:4">
      <c r="A477" s="18"/>
      <c r="B477" s="13"/>
      <c r="C477" s="22"/>
      <c r="D477" s="13"/>
    </row>
    <row r="478" spans="1:4">
      <c r="A478" s="18"/>
      <c r="B478" s="13"/>
      <c r="C478" s="22"/>
      <c r="D478" s="13"/>
    </row>
    <row r="479" spans="1:4">
      <c r="A479" s="18"/>
      <c r="B479" s="13"/>
      <c r="C479" s="22"/>
      <c r="D479" s="13"/>
    </row>
    <row r="480" spans="1:4">
      <c r="A480" s="18"/>
      <c r="B480" s="13"/>
      <c r="C480" s="22"/>
      <c r="D480" s="13"/>
    </row>
    <row r="481" spans="1:4">
      <c r="A481" s="18"/>
      <c r="B481" s="13"/>
      <c r="C481" s="22"/>
      <c r="D481" s="13"/>
    </row>
    <row r="482" spans="1:4">
      <c r="A482" s="18"/>
      <c r="B482" s="13"/>
      <c r="C482" s="22"/>
      <c r="D482" s="13"/>
    </row>
    <row r="483" spans="1:4">
      <c r="A483" s="18"/>
      <c r="B483" s="13"/>
      <c r="C483" s="22"/>
      <c r="D483" s="13"/>
    </row>
    <row r="484" spans="1:4">
      <c r="A484" s="18"/>
      <c r="B484" s="13"/>
      <c r="C484" s="22"/>
      <c r="D484" s="13"/>
    </row>
    <row r="485" spans="1:4">
      <c r="A485" s="18"/>
      <c r="B485" s="13"/>
      <c r="C485" s="22"/>
      <c r="D485" s="13"/>
    </row>
    <row r="486" spans="1:4">
      <c r="A486" s="18"/>
      <c r="B486" s="13"/>
      <c r="C486" s="22"/>
      <c r="D486" s="13"/>
    </row>
    <row r="487" spans="1:4">
      <c r="A487" s="18"/>
      <c r="B487" s="13"/>
      <c r="C487" s="22"/>
      <c r="D487" s="13"/>
    </row>
    <row r="488" spans="1:4">
      <c r="A488" s="18"/>
      <c r="B488" s="13"/>
      <c r="C488" s="22"/>
      <c r="D488" s="13"/>
    </row>
    <row r="489" spans="1:4">
      <c r="A489" s="18"/>
      <c r="B489" s="13"/>
      <c r="C489" s="22"/>
      <c r="D489" s="13"/>
    </row>
    <row r="490" spans="1:4">
      <c r="A490" s="18"/>
      <c r="B490" s="13"/>
      <c r="C490" s="22"/>
      <c r="D490" s="13"/>
    </row>
    <row r="491" spans="1:4">
      <c r="A491" s="18"/>
      <c r="B491" s="13"/>
      <c r="C491" s="22"/>
      <c r="D491" s="13"/>
    </row>
    <row r="492" spans="1:4">
      <c r="A492" s="18"/>
      <c r="B492" s="13"/>
      <c r="C492" s="22"/>
      <c r="D492" s="13"/>
    </row>
    <row r="493" spans="1:4">
      <c r="A493" s="18"/>
      <c r="B493" s="13"/>
      <c r="C493" s="22"/>
      <c r="D493" s="13"/>
    </row>
    <row r="494" spans="1:4">
      <c r="A494" s="18"/>
      <c r="B494" s="13"/>
      <c r="C494" s="22"/>
      <c r="D494" s="13"/>
    </row>
    <row r="495" spans="1:4">
      <c r="A495" s="18"/>
      <c r="B495" s="13"/>
      <c r="C495" s="22"/>
      <c r="D495" s="13"/>
    </row>
    <row r="496" spans="1:4">
      <c r="A496" s="18"/>
      <c r="B496" s="13"/>
      <c r="C496" s="22"/>
      <c r="D496" s="13"/>
    </row>
    <row r="497" spans="1:4">
      <c r="A497" s="18"/>
      <c r="B497" s="13"/>
      <c r="C497" s="22"/>
      <c r="D497" s="13"/>
    </row>
    <row r="498" spans="1:4">
      <c r="A498" s="18"/>
      <c r="B498" s="13"/>
      <c r="C498" s="22"/>
      <c r="D498" s="13"/>
    </row>
    <row r="499" spans="1:4">
      <c r="A499" s="18"/>
      <c r="B499" s="13"/>
      <c r="C499" s="22"/>
      <c r="D499" s="13"/>
    </row>
    <row r="500" spans="1:4">
      <c r="A500" s="18"/>
      <c r="B500" s="13"/>
      <c r="C500" s="22"/>
      <c r="D500" s="13"/>
    </row>
    <row r="501" spans="1:4">
      <c r="A501" s="18"/>
      <c r="B501" s="13"/>
      <c r="C501" s="22"/>
      <c r="D501" s="13"/>
    </row>
    <row r="502" spans="1:4">
      <c r="A502" s="18"/>
      <c r="B502" s="13"/>
      <c r="C502" s="22"/>
      <c r="D502" s="13"/>
    </row>
    <row r="503" spans="1:4">
      <c r="A503" s="18"/>
      <c r="B503" s="13"/>
      <c r="C503" s="22"/>
      <c r="D503" s="13"/>
    </row>
    <row r="504" spans="1:4">
      <c r="A504" s="18"/>
      <c r="B504" s="13"/>
      <c r="C504" s="22"/>
      <c r="D504" s="13"/>
    </row>
    <row r="505" spans="1:4">
      <c r="A505" s="18"/>
      <c r="B505" s="13"/>
      <c r="C505" s="22"/>
      <c r="D505" s="13"/>
    </row>
    <row r="506" spans="1:4">
      <c r="A506" s="18"/>
      <c r="B506" s="13"/>
      <c r="C506" s="22"/>
      <c r="D506" s="13"/>
    </row>
    <row r="507" spans="1:4">
      <c r="A507" s="18"/>
      <c r="B507" s="13"/>
      <c r="C507" s="22"/>
      <c r="D507" s="13"/>
    </row>
    <row r="508" spans="1:4">
      <c r="A508" s="18"/>
      <c r="B508" s="13"/>
      <c r="C508" s="22"/>
      <c r="D508" s="13"/>
    </row>
    <row r="509" spans="1:4">
      <c r="A509" s="18"/>
      <c r="B509" s="13"/>
      <c r="C509" s="22"/>
      <c r="D509" s="13"/>
    </row>
    <row r="510" spans="1:4">
      <c r="A510" s="18"/>
      <c r="B510" s="13"/>
      <c r="C510" s="22"/>
      <c r="D510" s="13"/>
    </row>
    <row r="511" spans="1:4">
      <c r="A511" s="18"/>
      <c r="B511" s="13"/>
      <c r="C511" s="22"/>
      <c r="D511" s="13"/>
    </row>
    <row r="512" spans="1:4">
      <c r="A512" s="18"/>
      <c r="B512" s="13"/>
      <c r="C512" s="22"/>
      <c r="D512" s="13"/>
    </row>
    <row r="513" spans="1:4">
      <c r="A513" s="18"/>
      <c r="B513" s="13"/>
      <c r="C513" s="22"/>
      <c r="D513" s="13"/>
    </row>
    <row r="514" spans="1:4">
      <c r="A514" s="18"/>
      <c r="B514" s="13"/>
      <c r="C514" s="22"/>
      <c r="D514" s="13"/>
    </row>
    <row r="515" spans="1:4">
      <c r="A515" s="18"/>
      <c r="B515" s="13"/>
      <c r="C515" s="22"/>
      <c r="D515" s="13"/>
    </row>
    <row r="516" spans="1:4">
      <c r="A516" s="18"/>
      <c r="B516" s="13"/>
      <c r="C516" s="22"/>
      <c r="D516" s="13"/>
    </row>
    <row r="517" spans="1:4">
      <c r="A517" s="18"/>
      <c r="B517" s="13"/>
      <c r="C517" s="22"/>
      <c r="D517" s="13"/>
    </row>
    <row r="518" spans="1:4">
      <c r="A518" s="18"/>
      <c r="B518" s="13"/>
      <c r="C518" s="22"/>
      <c r="D518" s="13"/>
    </row>
    <row r="519" spans="1:4">
      <c r="A519" s="18"/>
      <c r="B519" s="13"/>
      <c r="C519" s="22"/>
      <c r="D519" s="13"/>
    </row>
    <row r="520" spans="1:4">
      <c r="A520" s="18"/>
      <c r="B520" s="13"/>
      <c r="C520" s="22"/>
      <c r="D520" s="13"/>
    </row>
    <row r="521" spans="1:4">
      <c r="A521" s="18"/>
      <c r="B521" s="13"/>
      <c r="C521" s="22"/>
      <c r="D521" s="13"/>
    </row>
    <row r="522" spans="1:4">
      <c r="A522" s="18"/>
      <c r="B522" s="13"/>
      <c r="C522" s="22"/>
      <c r="D522" s="13"/>
    </row>
    <row r="523" spans="1:4">
      <c r="A523" s="18"/>
      <c r="B523" s="13"/>
      <c r="C523" s="22"/>
      <c r="D523" s="13"/>
    </row>
    <row r="524" spans="1:4">
      <c r="A524" s="18"/>
      <c r="B524" s="13"/>
      <c r="C524" s="22"/>
      <c r="D524" s="13"/>
    </row>
    <row r="525" spans="1:4">
      <c r="A525" s="18"/>
      <c r="B525" s="13"/>
      <c r="C525" s="22"/>
      <c r="D525" s="13"/>
    </row>
    <row r="526" spans="1:4">
      <c r="A526" s="18"/>
      <c r="B526" s="13"/>
      <c r="C526" s="22"/>
      <c r="D526" s="13"/>
    </row>
    <row r="527" spans="1:4">
      <c r="A527" s="18"/>
      <c r="B527" s="13"/>
      <c r="C527" s="22"/>
      <c r="D527" s="13"/>
    </row>
    <row r="528" spans="1:4">
      <c r="A528" s="18"/>
      <c r="B528" s="13"/>
      <c r="C528" s="22"/>
      <c r="D528" s="13"/>
    </row>
    <row r="529" spans="1:4">
      <c r="A529" s="18"/>
      <c r="B529" s="13"/>
      <c r="C529" s="22"/>
      <c r="D529" s="13"/>
    </row>
    <row r="530" spans="1:4">
      <c r="A530" s="18"/>
      <c r="B530" s="13"/>
      <c r="C530" s="22"/>
      <c r="D530" s="13"/>
    </row>
    <row r="531" spans="1:4">
      <c r="A531" s="18"/>
      <c r="B531" s="13"/>
      <c r="C531" s="22"/>
      <c r="D531" s="13"/>
    </row>
    <row r="532" spans="1:4">
      <c r="A532" s="18"/>
      <c r="B532" s="13"/>
      <c r="C532" s="22"/>
      <c r="D532" s="13"/>
    </row>
    <row r="533" spans="1:4">
      <c r="A533" s="18"/>
      <c r="B533" s="13"/>
      <c r="C533" s="22"/>
      <c r="D533" s="13"/>
    </row>
    <row r="534" spans="1:4">
      <c r="A534" s="18"/>
      <c r="B534" s="13"/>
      <c r="C534" s="22"/>
      <c r="D534" s="13"/>
    </row>
    <row r="535" spans="1:4">
      <c r="A535" s="18"/>
      <c r="B535" s="13"/>
      <c r="C535" s="22"/>
      <c r="D535" s="13"/>
    </row>
    <row r="536" spans="1:4">
      <c r="A536" s="18"/>
      <c r="B536" s="13"/>
      <c r="C536" s="22"/>
      <c r="D536" s="13"/>
    </row>
    <row r="537" spans="1:4">
      <c r="A537" s="18"/>
      <c r="B537" s="13"/>
      <c r="C537" s="22"/>
      <c r="D537" s="13"/>
    </row>
    <row r="538" spans="1:4">
      <c r="A538" s="18"/>
      <c r="B538" s="13"/>
      <c r="C538" s="22"/>
      <c r="D538" s="13"/>
    </row>
    <row r="539" spans="1:4">
      <c r="A539" s="18"/>
      <c r="B539" s="13"/>
      <c r="C539" s="22"/>
      <c r="D539" s="13"/>
    </row>
    <row r="540" spans="1:4">
      <c r="A540" s="18"/>
      <c r="B540" s="13"/>
      <c r="C540" s="22"/>
      <c r="D540" s="13"/>
    </row>
    <row r="541" spans="1:4">
      <c r="A541" s="18"/>
      <c r="B541" s="13"/>
      <c r="C541" s="22"/>
      <c r="D541" s="13"/>
    </row>
    <row r="542" spans="1:4">
      <c r="A542" s="18"/>
      <c r="B542" s="13"/>
      <c r="C542" s="22"/>
      <c r="D542" s="13"/>
    </row>
    <row r="543" spans="1:4">
      <c r="A543" s="18"/>
      <c r="B543" s="13"/>
      <c r="C543" s="22"/>
      <c r="D543" s="13"/>
    </row>
    <row r="544" spans="1:4">
      <c r="A544" s="18"/>
      <c r="B544" s="13"/>
      <c r="C544" s="22"/>
      <c r="D544" s="13"/>
    </row>
    <row r="545" spans="1:4">
      <c r="A545" s="18"/>
      <c r="B545" s="13"/>
      <c r="C545" s="22"/>
      <c r="D545" s="13"/>
    </row>
    <row r="546" spans="1:4">
      <c r="A546" s="18"/>
      <c r="B546" s="13"/>
      <c r="C546" s="22"/>
      <c r="D546" s="13"/>
    </row>
    <row r="547" spans="1:4">
      <c r="A547" s="18"/>
      <c r="B547" s="13"/>
      <c r="C547" s="22"/>
      <c r="D547" s="13"/>
    </row>
    <row r="548" spans="1:4">
      <c r="A548" s="18"/>
      <c r="B548" s="13"/>
      <c r="C548" s="22"/>
      <c r="D548" s="13"/>
    </row>
    <row r="549" spans="1:4">
      <c r="A549" s="18"/>
      <c r="B549" s="13"/>
      <c r="C549" s="22"/>
      <c r="D549" s="13"/>
    </row>
    <row r="550" spans="1:4">
      <c r="A550" s="18"/>
      <c r="B550" s="13"/>
      <c r="C550" s="22"/>
      <c r="D550" s="13"/>
    </row>
    <row r="551" spans="1:4">
      <c r="A551" s="18"/>
      <c r="B551" s="13"/>
      <c r="C551" s="22"/>
      <c r="D551" s="13"/>
    </row>
    <row r="552" spans="1:4">
      <c r="A552" s="18"/>
      <c r="B552" s="13"/>
      <c r="C552" s="22"/>
      <c r="D552" s="13"/>
    </row>
    <row r="553" spans="1:4">
      <c r="A553" s="18"/>
      <c r="B553" s="13"/>
      <c r="C553" s="22"/>
      <c r="D553" s="13"/>
    </row>
    <row r="554" spans="1:4">
      <c r="A554" s="18"/>
      <c r="B554" s="13"/>
      <c r="C554" s="22"/>
      <c r="D554" s="13"/>
    </row>
    <row r="555" spans="1:4">
      <c r="A555" s="18"/>
      <c r="B555" s="13"/>
      <c r="C555" s="22"/>
      <c r="D555" s="13"/>
    </row>
    <row r="556" spans="1:4">
      <c r="A556" s="18"/>
      <c r="B556" s="13"/>
      <c r="C556" s="22"/>
      <c r="D556" s="13"/>
    </row>
    <row r="557" spans="1:4">
      <c r="A557" s="18"/>
      <c r="B557" s="13"/>
      <c r="C557" s="22"/>
      <c r="D557" s="13"/>
    </row>
    <row r="558" spans="1:4">
      <c r="A558" s="18"/>
      <c r="B558" s="13"/>
      <c r="C558" s="22"/>
      <c r="D558" s="13"/>
    </row>
    <row r="559" spans="1:4">
      <c r="A559" s="18"/>
      <c r="B559" s="13"/>
      <c r="C559" s="22"/>
      <c r="D559" s="13"/>
    </row>
    <row r="560" spans="1:4">
      <c r="A560" s="18"/>
      <c r="B560" s="13"/>
      <c r="C560" s="22"/>
      <c r="D560" s="13"/>
    </row>
    <row r="561" spans="1:4">
      <c r="A561" s="18"/>
      <c r="B561" s="13"/>
      <c r="C561" s="22"/>
      <c r="D561" s="13"/>
    </row>
    <row r="562" spans="1:4">
      <c r="A562" s="18"/>
      <c r="B562" s="13"/>
      <c r="C562" s="22"/>
      <c r="D562" s="13"/>
    </row>
    <row r="563" spans="1:4">
      <c r="A563" s="18"/>
      <c r="B563" s="13"/>
      <c r="C563" s="22"/>
      <c r="D563" s="13"/>
    </row>
    <row r="564" spans="1:4">
      <c r="A564" s="18"/>
      <c r="B564" s="13"/>
      <c r="C564" s="22"/>
      <c r="D564" s="13"/>
    </row>
    <row r="565" spans="1:4">
      <c r="A565" s="18"/>
      <c r="B565" s="13"/>
      <c r="C565" s="22"/>
      <c r="D565" s="13"/>
    </row>
    <row r="566" spans="1:4">
      <c r="A566" s="18"/>
      <c r="B566" s="13"/>
      <c r="C566" s="22"/>
      <c r="D566" s="13"/>
    </row>
    <row r="567" spans="1:4">
      <c r="A567" s="18"/>
      <c r="B567" s="13"/>
      <c r="C567" s="22"/>
      <c r="D567" s="13"/>
    </row>
    <row r="568" spans="1:4">
      <c r="A568" s="18"/>
      <c r="B568" s="13"/>
      <c r="C568" s="22"/>
      <c r="D568" s="13"/>
    </row>
    <row r="569" spans="1:4">
      <c r="A569" s="18"/>
      <c r="B569" s="13"/>
      <c r="C569" s="22"/>
      <c r="D569" s="13"/>
    </row>
    <row r="570" spans="1:4">
      <c r="A570" s="18"/>
      <c r="B570" s="13"/>
      <c r="C570" s="22"/>
      <c r="D570" s="13"/>
    </row>
    <row r="571" spans="1:4">
      <c r="A571" s="18"/>
      <c r="B571" s="13"/>
      <c r="C571" s="22"/>
      <c r="D571" s="13"/>
    </row>
    <row r="572" spans="1:4">
      <c r="A572" s="18"/>
      <c r="B572" s="13"/>
      <c r="C572" s="22"/>
      <c r="D572" s="13"/>
    </row>
    <row r="573" spans="1:4">
      <c r="A573" s="18"/>
      <c r="B573" s="13"/>
      <c r="C573" s="22"/>
      <c r="D573" s="13"/>
    </row>
    <row r="574" spans="1:4">
      <c r="A574" s="18"/>
      <c r="B574" s="13"/>
      <c r="C574" s="22"/>
      <c r="D574" s="13"/>
    </row>
    <row r="575" spans="1:4">
      <c r="A575" s="18"/>
      <c r="B575" s="13"/>
      <c r="C575" s="22"/>
      <c r="D575" s="13"/>
    </row>
    <row r="576" spans="1:4">
      <c r="A576" s="18"/>
      <c r="B576" s="13"/>
      <c r="C576" s="22"/>
      <c r="D576" s="13"/>
    </row>
    <row r="577" spans="1:4">
      <c r="A577" s="18"/>
      <c r="B577" s="13"/>
      <c r="C577" s="22"/>
      <c r="D577" s="13"/>
    </row>
    <row r="578" spans="1:4">
      <c r="A578" s="18"/>
      <c r="B578" s="13"/>
      <c r="C578" s="22"/>
      <c r="D578" s="13"/>
    </row>
    <row r="579" spans="1:4">
      <c r="A579" s="18"/>
      <c r="B579" s="13"/>
      <c r="C579" s="22"/>
      <c r="D579" s="13"/>
    </row>
    <row r="580" spans="1:4">
      <c r="A580" s="18"/>
      <c r="B580" s="13"/>
      <c r="C580" s="22"/>
      <c r="D580" s="13"/>
    </row>
    <row r="581" spans="1:4">
      <c r="A581" s="18"/>
      <c r="B581" s="13"/>
      <c r="C581" s="22"/>
      <c r="D581" s="13"/>
    </row>
    <row r="582" spans="1:4">
      <c r="A582" s="18"/>
      <c r="B582" s="13"/>
      <c r="C582" s="22"/>
      <c r="D582" s="13"/>
    </row>
    <row r="583" spans="1:4">
      <c r="A583" s="18"/>
      <c r="B583" s="13"/>
      <c r="C583" s="22"/>
      <c r="D583" s="13"/>
    </row>
    <row r="584" spans="1:4">
      <c r="A584" s="18"/>
      <c r="B584" s="13"/>
      <c r="C584" s="22"/>
      <c r="D584" s="13"/>
    </row>
    <row r="585" spans="1:4">
      <c r="A585" s="18"/>
      <c r="B585" s="13"/>
      <c r="C585" s="22"/>
      <c r="D585" s="13"/>
    </row>
    <row r="586" spans="1:4">
      <c r="A586" s="18"/>
      <c r="B586" s="13"/>
      <c r="C586" s="22"/>
      <c r="D586" s="13"/>
    </row>
    <row r="587" spans="1:4">
      <c r="A587" s="18"/>
      <c r="B587" s="13"/>
      <c r="C587" s="22"/>
      <c r="D587" s="13"/>
    </row>
    <row r="588" spans="1:4">
      <c r="A588" s="18"/>
      <c r="B588" s="13"/>
      <c r="C588" s="22"/>
      <c r="D588" s="13"/>
    </row>
    <row r="589" spans="1:4">
      <c r="A589" s="18"/>
      <c r="B589" s="13"/>
      <c r="C589" s="22"/>
      <c r="D589" s="13"/>
    </row>
    <row r="590" spans="1:4">
      <c r="A590" s="18"/>
      <c r="B590" s="13"/>
      <c r="C590" s="22"/>
      <c r="D590" s="13"/>
    </row>
    <row r="591" spans="1:4">
      <c r="A591" s="18"/>
      <c r="B591" s="13"/>
      <c r="C591" s="22"/>
      <c r="D591" s="13"/>
    </row>
    <row r="592" spans="1:4">
      <c r="A592" s="18"/>
      <c r="B592" s="13"/>
      <c r="C592" s="22"/>
      <c r="D592" s="13"/>
    </row>
    <row r="593" spans="1:4">
      <c r="A593" s="18"/>
      <c r="B593" s="13"/>
      <c r="C593" s="22"/>
      <c r="D593" s="13"/>
    </row>
    <row r="594" spans="1:4">
      <c r="A594" s="18"/>
      <c r="B594" s="13"/>
      <c r="C594" s="22"/>
      <c r="D594" s="13"/>
    </row>
    <row r="595" spans="1:4">
      <c r="A595" s="18"/>
      <c r="B595" s="13"/>
      <c r="C595" s="22"/>
      <c r="D595" s="13"/>
    </row>
    <row r="596" spans="1:4">
      <c r="A596" s="18"/>
      <c r="B596" s="13"/>
      <c r="C596" s="22"/>
      <c r="D596" s="13"/>
    </row>
    <row r="597" spans="1:4">
      <c r="A597" s="18"/>
      <c r="B597" s="13"/>
      <c r="C597" s="22"/>
      <c r="D597" s="13"/>
    </row>
    <row r="598" spans="1:4">
      <c r="A598" s="18"/>
      <c r="B598" s="13"/>
      <c r="C598" s="22"/>
      <c r="D598" s="13"/>
    </row>
    <row r="599" spans="1:4">
      <c r="A599" s="18"/>
      <c r="B599" s="13"/>
      <c r="C599" s="22"/>
      <c r="D599" s="13"/>
    </row>
    <row r="600" spans="1:4">
      <c r="A600" s="18"/>
      <c r="B600" s="13"/>
      <c r="C600" s="22"/>
      <c r="D600" s="13"/>
    </row>
    <row r="601" spans="1:4">
      <c r="A601" s="18"/>
      <c r="B601" s="13"/>
      <c r="C601" s="22"/>
      <c r="D601" s="13"/>
    </row>
    <row r="602" spans="1:4">
      <c r="A602" s="18"/>
      <c r="B602" s="13"/>
      <c r="C602" s="22"/>
      <c r="D602" s="13"/>
    </row>
    <row r="603" spans="1:4">
      <c r="A603" s="18"/>
      <c r="B603" s="13"/>
      <c r="C603" s="22"/>
      <c r="D603" s="13"/>
    </row>
    <row r="604" spans="1:4">
      <c r="A604" s="18"/>
      <c r="B604" s="13"/>
      <c r="C604" s="22"/>
      <c r="D604" s="13"/>
    </row>
    <row r="605" spans="1:4">
      <c r="A605" s="18"/>
      <c r="B605" s="13"/>
      <c r="C605" s="22"/>
      <c r="D605" s="13"/>
    </row>
    <row r="606" spans="1:4">
      <c r="A606" s="18"/>
      <c r="B606" s="13"/>
      <c r="C606" s="22"/>
      <c r="D606" s="13"/>
    </row>
    <row r="607" spans="1:4">
      <c r="A607" s="18"/>
      <c r="B607" s="13"/>
      <c r="C607" s="22"/>
      <c r="D607" s="13"/>
    </row>
    <row r="608" spans="1:4">
      <c r="A608" s="18"/>
      <c r="B608" s="13"/>
      <c r="C608" s="22"/>
      <c r="D608" s="13"/>
    </row>
    <row r="609" spans="1:4">
      <c r="A609" s="18"/>
      <c r="B609" s="13"/>
      <c r="C609" s="22"/>
      <c r="D609" s="13"/>
    </row>
    <row r="610" spans="1:4">
      <c r="A610" s="18"/>
      <c r="B610" s="13"/>
      <c r="C610" s="22"/>
      <c r="D610" s="13"/>
    </row>
    <row r="611" spans="1:4">
      <c r="A611" s="18"/>
      <c r="B611" s="13"/>
      <c r="C611" s="22"/>
      <c r="D611" s="13"/>
    </row>
    <row r="612" spans="1:4">
      <c r="A612" s="18"/>
      <c r="B612" s="13"/>
      <c r="C612" s="22"/>
      <c r="D612" s="13"/>
    </row>
    <row r="613" spans="1:4">
      <c r="A613" s="18"/>
      <c r="B613" s="13"/>
      <c r="C613" s="22"/>
      <c r="D613" s="13"/>
    </row>
    <row r="614" spans="1:4">
      <c r="A614" s="18"/>
      <c r="B614" s="13"/>
      <c r="C614" s="22"/>
      <c r="D614" s="13"/>
    </row>
    <row r="615" spans="1:4">
      <c r="A615" s="18"/>
      <c r="B615" s="13"/>
      <c r="C615" s="22"/>
      <c r="D615" s="13"/>
    </row>
    <row r="616" spans="1:4">
      <c r="A616" s="18"/>
      <c r="B616" s="13"/>
      <c r="C616" s="22"/>
      <c r="D616" s="13"/>
    </row>
    <row r="617" spans="1:4">
      <c r="A617" s="18"/>
      <c r="B617" s="13"/>
      <c r="C617" s="22"/>
      <c r="D617" s="13"/>
    </row>
    <row r="618" spans="1:4">
      <c r="A618" s="18"/>
      <c r="B618" s="13"/>
      <c r="C618" s="22"/>
      <c r="D618" s="13"/>
    </row>
    <row r="619" spans="1:4">
      <c r="A619" s="18"/>
      <c r="B619" s="13"/>
      <c r="C619" s="22"/>
      <c r="D619" s="13"/>
    </row>
    <row r="620" spans="1:4">
      <c r="A620" s="18"/>
      <c r="B620" s="13"/>
      <c r="C620" s="22"/>
      <c r="D620" s="13"/>
    </row>
    <row r="621" spans="1:4">
      <c r="A621" s="18"/>
      <c r="B621" s="13"/>
      <c r="C621" s="22"/>
      <c r="D621" s="13"/>
    </row>
    <row r="622" spans="1:4">
      <c r="A622" s="18"/>
      <c r="B622" s="13"/>
      <c r="C622" s="22"/>
      <c r="D622" s="13"/>
    </row>
    <row r="623" spans="1:4">
      <c r="A623" s="18"/>
      <c r="B623" s="13"/>
      <c r="C623" s="22"/>
      <c r="D623" s="13"/>
    </row>
    <row r="624" spans="1:4">
      <c r="A624" s="18"/>
      <c r="B624" s="13"/>
      <c r="C624" s="22"/>
      <c r="D624" s="13"/>
    </row>
    <row r="625" spans="1:4">
      <c r="A625" s="18"/>
      <c r="B625" s="13"/>
      <c r="C625" s="22"/>
      <c r="D625" s="13"/>
    </row>
    <row r="626" spans="1:4">
      <c r="A626" s="18"/>
      <c r="B626" s="13"/>
      <c r="C626" s="22"/>
      <c r="D626" s="13"/>
    </row>
    <row r="627" spans="1:4">
      <c r="A627" s="18"/>
      <c r="B627" s="13"/>
      <c r="C627" s="22"/>
      <c r="D627" s="13"/>
    </row>
    <row r="628" spans="1:4">
      <c r="A628" s="18"/>
      <c r="B628" s="13"/>
      <c r="C628" s="22"/>
      <c r="D628" s="13"/>
    </row>
    <row r="629" spans="1:4">
      <c r="A629" s="18"/>
      <c r="B629" s="13"/>
      <c r="C629" s="22"/>
      <c r="D629" s="13"/>
    </row>
    <row r="630" spans="1:4">
      <c r="A630" s="18"/>
      <c r="B630" s="13"/>
      <c r="C630" s="22"/>
      <c r="D630" s="13"/>
    </row>
    <row r="631" spans="1:4">
      <c r="A631" s="18"/>
      <c r="B631" s="13"/>
      <c r="C631" s="22"/>
      <c r="D631" s="13"/>
    </row>
    <row r="632" spans="1:4">
      <c r="A632" s="18"/>
      <c r="B632" s="13"/>
      <c r="C632" s="22"/>
      <c r="D632" s="13"/>
    </row>
    <row r="633" spans="1:4">
      <c r="A633" s="18"/>
      <c r="B633" s="13"/>
      <c r="C633" s="22"/>
      <c r="D633" s="13"/>
    </row>
    <row r="634" spans="1:4">
      <c r="A634" s="18"/>
      <c r="B634" s="13"/>
      <c r="C634" s="22"/>
      <c r="D634" s="13"/>
    </row>
    <row r="635" spans="1:4">
      <c r="A635" s="18"/>
      <c r="B635" s="13"/>
      <c r="C635" s="22"/>
      <c r="D635" s="13"/>
    </row>
    <row r="636" spans="1:4">
      <c r="A636" s="18"/>
      <c r="B636" s="13"/>
      <c r="C636" s="22"/>
      <c r="D636" s="13"/>
    </row>
    <row r="637" spans="1:4">
      <c r="A637" s="18"/>
      <c r="B637" s="13"/>
      <c r="C637" s="22"/>
      <c r="D637" s="13"/>
    </row>
    <row r="638" spans="1:4">
      <c r="A638" s="18"/>
      <c r="B638" s="13"/>
      <c r="C638" s="22"/>
      <c r="D638" s="13"/>
    </row>
    <row r="639" spans="1:4">
      <c r="A639" s="18"/>
      <c r="B639" s="13"/>
      <c r="C639" s="22"/>
      <c r="D639" s="13"/>
    </row>
    <row r="640" spans="1:4">
      <c r="A640" s="18"/>
      <c r="B640" s="13"/>
      <c r="C640" s="22"/>
      <c r="D640" s="13"/>
    </row>
    <row r="641" spans="1:4">
      <c r="A641" s="18"/>
      <c r="B641" s="13"/>
      <c r="C641" s="22"/>
      <c r="D641" s="13"/>
    </row>
    <row r="642" spans="1:4">
      <c r="A642" s="18"/>
      <c r="B642" s="13"/>
      <c r="C642" s="22"/>
      <c r="D642" s="13"/>
    </row>
    <row r="643" spans="1:4">
      <c r="A643" s="18"/>
      <c r="B643" s="13"/>
      <c r="C643" s="22"/>
      <c r="D643" s="13"/>
    </row>
    <row r="644" spans="1:4">
      <c r="A644" s="18"/>
      <c r="B644" s="13"/>
      <c r="C644" s="22"/>
      <c r="D644" s="13"/>
    </row>
    <row r="645" spans="1:4">
      <c r="A645" s="18"/>
      <c r="B645" s="13"/>
      <c r="C645" s="22"/>
      <c r="D645" s="13"/>
    </row>
    <row r="646" spans="1:4">
      <c r="A646" s="18"/>
      <c r="B646" s="13"/>
      <c r="C646" s="22"/>
      <c r="D646" s="13"/>
    </row>
    <row r="647" spans="1:4">
      <c r="A647" s="18"/>
      <c r="B647" s="13"/>
      <c r="C647" s="22"/>
      <c r="D647" s="13"/>
    </row>
    <row r="648" spans="1:4">
      <c r="A648" s="18"/>
      <c r="B648" s="13"/>
      <c r="C648" s="22"/>
      <c r="D648" s="13"/>
    </row>
    <row r="649" spans="1:4">
      <c r="A649" s="18"/>
      <c r="B649" s="13"/>
      <c r="C649" s="22"/>
      <c r="D649" s="13"/>
    </row>
    <row r="650" spans="1:4">
      <c r="A650" s="18"/>
      <c r="B650" s="13"/>
      <c r="C650" s="22"/>
      <c r="D650" s="13"/>
    </row>
    <row r="651" spans="1:4">
      <c r="A651" s="18"/>
      <c r="B651" s="13"/>
      <c r="C651" s="22"/>
      <c r="D651" s="13"/>
    </row>
    <row r="652" spans="1:4">
      <c r="A652" s="18"/>
      <c r="B652" s="13"/>
      <c r="C652" s="22"/>
      <c r="D652" s="13"/>
    </row>
    <row r="653" spans="1:4">
      <c r="A653" s="18"/>
      <c r="B653" s="13"/>
      <c r="C653" s="22"/>
      <c r="D653" s="13"/>
    </row>
    <row r="654" spans="1:4">
      <c r="A654" s="18"/>
      <c r="B654" s="13"/>
      <c r="C654" s="22"/>
      <c r="D654" s="13"/>
    </row>
    <row r="655" spans="1:4">
      <c r="A655" s="18"/>
      <c r="B655" s="13"/>
      <c r="C655" s="22"/>
      <c r="D655" s="13"/>
    </row>
    <row r="656" spans="1:4">
      <c r="A656" s="18"/>
      <c r="B656" s="13"/>
      <c r="C656" s="22"/>
      <c r="D656" s="13"/>
    </row>
    <row r="657" spans="1:4">
      <c r="A657" s="18"/>
      <c r="B657" s="13"/>
      <c r="C657" s="22"/>
      <c r="D657" s="13"/>
    </row>
    <row r="658" spans="1:4">
      <c r="A658" s="18"/>
      <c r="B658" s="13"/>
      <c r="C658" s="22"/>
      <c r="D658" s="13"/>
    </row>
    <row r="659" spans="1:4">
      <c r="A659" s="18"/>
      <c r="B659" s="13"/>
      <c r="C659" s="22"/>
      <c r="D659" s="13"/>
    </row>
    <row r="660" spans="1:4">
      <c r="A660" s="18"/>
      <c r="B660" s="13"/>
      <c r="C660" s="22"/>
      <c r="D660" s="13"/>
    </row>
    <row r="661" spans="1:4">
      <c r="A661" s="18"/>
      <c r="B661" s="13"/>
      <c r="C661" s="22"/>
      <c r="D661" s="13"/>
    </row>
    <row r="662" spans="1:4">
      <c r="A662" s="18"/>
      <c r="B662" s="13"/>
      <c r="C662" s="22"/>
      <c r="D662" s="13"/>
    </row>
    <row r="663" spans="1:4">
      <c r="A663" s="18"/>
      <c r="B663" s="13"/>
      <c r="C663" s="22"/>
      <c r="D663" s="13"/>
    </row>
    <row r="664" spans="1:4">
      <c r="A664" s="18"/>
      <c r="B664" s="13"/>
      <c r="C664" s="22"/>
      <c r="D664" s="13"/>
    </row>
    <row r="665" spans="1:4">
      <c r="A665" s="18"/>
      <c r="B665" s="13"/>
      <c r="C665" s="22"/>
      <c r="D665" s="13"/>
    </row>
    <row r="666" spans="1:4">
      <c r="A666" s="18"/>
      <c r="B666" s="13"/>
      <c r="C666" s="22"/>
      <c r="D666" s="13"/>
    </row>
    <row r="667" spans="1:4">
      <c r="A667" s="18"/>
      <c r="B667" s="13"/>
      <c r="C667" s="22"/>
      <c r="D667" s="13"/>
    </row>
    <row r="668" spans="1:4">
      <c r="A668" s="18"/>
      <c r="B668" s="13"/>
      <c r="C668" s="22"/>
      <c r="D668" s="13"/>
    </row>
    <row r="669" spans="1:4">
      <c r="A669" s="18"/>
      <c r="B669" s="13"/>
      <c r="C669" s="22"/>
      <c r="D669" s="13"/>
    </row>
    <row r="670" spans="1:4">
      <c r="A670" s="18"/>
      <c r="B670" s="13"/>
      <c r="C670" s="22"/>
      <c r="D670" s="13"/>
    </row>
    <row r="671" spans="1:4">
      <c r="A671" s="18"/>
      <c r="B671" s="13"/>
      <c r="C671" s="22"/>
      <c r="D671" s="13"/>
    </row>
    <row r="672" spans="1:4">
      <c r="A672" s="18"/>
      <c r="B672" s="13"/>
      <c r="C672" s="22"/>
      <c r="D672" s="13"/>
    </row>
    <row r="673" spans="1:4">
      <c r="A673" s="18"/>
      <c r="B673" s="13"/>
      <c r="C673" s="22"/>
      <c r="D673" s="13"/>
    </row>
    <row r="674" spans="1:4">
      <c r="A674" s="18"/>
      <c r="B674" s="13"/>
      <c r="C674" s="22"/>
      <c r="D674" s="13"/>
    </row>
    <row r="675" spans="1:4">
      <c r="A675" s="18"/>
      <c r="B675" s="13"/>
      <c r="C675" s="22"/>
      <c r="D675" s="13"/>
    </row>
    <row r="676" spans="1:4">
      <c r="A676" s="18"/>
      <c r="B676" s="13"/>
      <c r="C676" s="22"/>
      <c r="D676" s="13"/>
    </row>
    <row r="677" spans="1:4">
      <c r="A677" s="18"/>
      <c r="B677" s="13"/>
      <c r="C677" s="22"/>
      <c r="D677" s="13"/>
    </row>
    <row r="678" spans="1:4">
      <c r="A678" s="18"/>
      <c r="B678" s="13"/>
      <c r="C678" s="22"/>
      <c r="D678" s="13"/>
    </row>
    <row r="679" spans="1:4">
      <c r="A679" s="18"/>
      <c r="B679" s="13"/>
      <c r="C679" s="22"/>
      <c r="D679" s="13"/>
    </row>
    <row r="680" spans="1:4">
      <c r="A680" s="18"/>
      <c r="B680" s="13"/>
      <c r="C680" s="22"/>
      <c r="D680" s="13"/>
    </row>
    <row r="681" spans="1:4">
      <c r="A681" s="18"/>
      <c r="B681" s="13"/>
      <c r="C681" s="22"/>
      <c r="D681" s="13"/>
    </row>
    <row r="682" spans="1:4">
      <c r="A682" s="18"/>
      <c r="B682" s="13"/>
      <c r="C682" s="22"/>
      <c r="D682" s="13"/>
    </row>
    <row r="683" spans="1:4">
      <c r="A683" s="18"/>
      <c r="B683" s="13"/>
      <c r="C683" s="22"/>
      <c r="D683" s="13"/>
    </row>
    <row r="684" spans="1:4">
      <c r="A684" s="18"/>
      <c r="B684" s="13"/>
      <c r="C684" s="22"/>
      <c r="D684" s="13"/>
    </row>
    <row r="685" spans="1:4">
      <c r="A685" s="18"/>
      <c r="B685" s="13"/>
      <c r="C685" s="22"/>
      <c r="D685" s="13"/>
    </row>
    <row r="686" spans="1:4">
      <c r="A686" s="18"/>
      <c r="B686" s="13"/>
      <c r="C686" s="22"/>
      <c r="D686" s="13"/>
    </row>
    <row r="687" spans="1:4">
      <c r="A687" s="18"/>
      <c r="B687" s="13"/>
      <c r="C687" s="22"/>
      <c r="D687" s="13"/>
    </row>
    <row r="688" spans="1:4">
      <c r="A688" s="18"/>
      <c r="B688" s="13"/>
      <c r="C688" s="22"/>
      <c r="D688" s="13"/>
    </row>
    <row r="689" spans="1:4">
      <c r="A689" s="18"/>
      <c r="B689" s="13"/>
      <c r="C689" s="22"/>
      <c r="D689" s="13"/>
    </row>
    <row r="690" spans="1:4">
      <c r="A690" s="18"/>
      <c r="B690" s="13"/>
      <c r="C690" s="22"/>
      <c r="D690" s="13"/>
    </row>
    <row r="691" spans="1:4">
      <c r="A691" s="18"/>
      <c r="B691" s="13"/>
      <c r="C691" s="22"/>
      <c r="D691" s="13"/>
    </row>
    <row r="692" spans="1:4">
      <c r="A692" s="18"/>
      <c r="B692" s="13"/>
      <c r="C692" s="22"/>
      <c r="D692" s="13"/>
    </row>
    <row r="693" spans="1:4">
      <c r="A693" s="18"/>
      <c r="B693" s="13"/>
      <c r="C693" s="22"/>
      <c r="D693" s="13"/>
    </row>
    <row r="694" spans="1:4">
      <c r="A694" s="18"/>
      <c r="B694" s="13"/>
      <c r="C694" s="22"/>
      <c r="D694" s="13"/>
    </row>
    <row r="695" spans="1:4">
      <c r="A695" s="18"/>
      <c r="B695" s="13"/>
      <c r="C695" s="22"/>
      <c r="D695" s="13"/>
    </row>
    <row r="696" spans="1:4">
      <c r="A696" s="18"/>
      <c r="B696" s="13"/>
      <c r="C696" s="22"/>
      <c r="D696" s="13"/>
    </row>
    <row r="697" spans="1:4">
      <c r="A697" s="18"/>
      <c r="B697" s="13"/>
      <c r="C697" s="22"/>
      <c r="D697" s="13"/>
    </row>
    <row r="698" spans="1:4">
      <c r="A698" s="18"/>
      <c r="B698" s="13"/>
      <c r="C698" s="22"/>
      <c r="D698" s="13"/>
    </row>
    <row r="699" spans="1:4">
      <c r="A699" s="18"/>
      <c r="B699" s="13"/>
      <c r="C699" s="22"/>
      <c r="D699" s="13"/>
    </row>
    <row r="700" spans="1:4">
      <c r="A700" s="18"/>
      <c r="B700" s="13"/>
      <c r="C700" s="22"/>
      <c r="D700" s="13"/>
    </row>
    <row r="701" spans="1:4">
      <c r="A701" s="18"/>
      <c r="B701" s="13"/>
      <c r="C701" s="22"/>
      <c r="D701" s="13"/>
    </row>
    <row r="702" spans="1:4">
      <c r="A702" s="18"/>
      <c r="B702" s="13"/>
      <c r="C702" s="22"/>
      <c r="D702" s="13"/>
    </row>
    <row r="703" spans="1:4">
      <c r="A703" s="18"/>
      <c r="B703" s="13"/>
      <c r="C703" s="22"/>
      <c r="D703" s="13"/>
    </row>
    <row r="704" spans="1:4">
      <c r="A704" s="18"/>
      <c r="B704" s="13"/>
      <c r="C704" s="22"/>
      <c r="D704" s="13"/>
    </row>
    <row r="705" spans="1:4">
      <c r="A705" s="18"/>
      <c r="B705" s="13"/>
      <c r="C705" s="22"/>
      <c r="D705" s="13"/>
    </row>
    <row r="706" spans="1:4">
      <c r="A706" s="18"/>
      <c r="B706" s="13"/>
      <c r="C706" s="22"/>
      <c r="D706" s="13"/>
    </row>
    <row r="707" spans="1:4">
      <c r="A707" s="18"/>
      <c r="B707" s="13"/>
      <c r="C707" s="22"/>
      <c r="D707" s="13"/>
    </row>
    <row r="708" spans="1:4">
      <c r="A708" s="18"/>
      <c r="B708" s="13"/>
      <c r="C708" s="22"/>
      <c r="D708" s="13"/>
    </row>
    <row r="709" spans="1:4">
      <c r="A709" s="18"/>
      <c r="B709" s="13"/>
      <c r="C709" s="22"/>
      <c r="D709" s="13"/>
    </row>
    <row r="710" spans="1:4">
      <c r="A710" s="18"/>
      <c r="B710" s="13"/>
      <c r="C710" s="22"/>
      <c r="D710" s="13"/>
    </row>
    <row r="711" spans="1:4">
      <c r="A711" s="18"/>
      <c r="B711" s="13"/>
      <c r="C711" s="22"/>
      <c r="D711" s="13"/>
    </row>
    <row r="712" spans="1:4">
      <c r="A712" s="18"/>
      <c r="B712" s="13"/>
      <c r="C712" s="22"/>
      <c r="D712" s="13"/>
    </row>
    <row r="713" spans="1:4">
      <c r="A713" s="18"/>
      <c r="B713" s="13"/>
      <c r="C713" s="22"/>
      <c r="D713" s="13"/>
    </row>
    <row r="714" spans="1:4">
      <c r="A714" s="18"/>
      <c r="B714" s="13"/>
      <c r="C714" s="22"/>
      <c r="D714" s="13"/>
    </row>
    <row r="715" spans="1:4">
      <c r="A715" s="18"/>
      <c r="B715" s="13"/>
      <c r="C715" s="22"/>
      <c r="D715" s="13"/>
    </row>
    <row r="716" spans="1:4">
      <c r="A716" s="18"/>
      <c r="B716" s="13"/>
      <c r="C716" s="22"/>
      <c r="D716" s="13"/>
    </row>
    <row r="717" spans="1:4">
      <c r="A717" s="18"/>
      <c r="B717" s="13"/>
      <c r="C717" s="22"/>
      <c r="D717" s="13"/>
    </row>
    <row r="718" spans="1:4">
      <c r="A718" s="18"/>
      <c r="B718" s="13"/>
      <c r="C718" s="22"/>
      <c r="D718" s="13"/>
    </row>
    <row r="719" spans="1:4">
      <c r="A719" s="18"/>
      <c r="B719" s="13"/>
      <c r="C719" s="22"/>
      <c r="D719" s="13"/>
    </row>
    <row r="720" spans="1:4">
      <c r="A720" s="18"/>
      <c r="B720" s="13"/>
      <c r="C720" s="22"/>
      <c r="D720" s="13"/>
    </row>
    <row r="721" spans="1:4">
      <c r="A721" s="18"/>
      <c r="B721" s="13"/>
      <c r="C721" s="22"/>
      <c r="D721" s="13"/>
    </row>
    <row r="722" spans="1:4">
      <c r="A722" s="18"/>
      <c r="B722" s="13"/>
      <c r="C722" s="22"/>
      <c r="D722" s="13"/>
    </row>
    <row r="723" spans="1:4">
      <c r="A723" s="18"/>
      <c r="B723" s="13"/>
      <c r="C723" s="22"/>
      <c r="D723" s="13"/>
    </row>
    <row r="724" spans="1:4">
      <c r="A724" s="18"/>
      <c r="B724" s="13"/>
      <c r="C724" s="22"/>
      <c r="D724" s="13"/>
    </row>
    <row r="725" spans="1:4">
      <c r="A725" s="18"/>
      <c r="B725" s="13"/>
      <c r="C725" s="22"/>
      <c r="D725" s="13"/>
    </row>
    <row r="726" spans="1:4">
      <c r="A726" s="18"/>
      <c r="B726" s="13"/>
      <c r="C726" s="22"/>
      <c r="D726" s="13"/>
    </row>
    <row r="727" spans="1:4">
      <c r="A727" s="18"/>
      <c r="B727" s="13"/>
      <c r="C727" s="22"/>
      <c r="D727" s="13"/>
    </row>
    <row r="728" spans="1:4">
      <c r="A728" s="18"/>
      <c r="B728" s="13"/>
      <c r="C728" s="22"/>
      <c r="D728" s="13"/>
    </row>
    <row r="729" spans="1:4">
      <c r="A729" s="18"/>
      <c r="B729" s="13"/>
      <c r="C729" s="22"/>
      <c r="D729" s="13"/>
    </row>
    <row r="730" spans="1:4">
      <c r="A730" s="18"/>
      <c r="B730" s="13"/>
      <c r="C730" s="22"/>
      <c r="D730" s="13"/>
    </row>
    <row r="731" spans="1:4">
      <c r="A731" s="18"/>
      <c r="B731" s="13"/>
      <c r="C731" s="22"/>
      <c r="D731" s="13"/>
    </row>
    <row r="732" spans="1:4">
      <c r="A732" s="18"/>
      <c r="B732" s="13"/>
      <c r="C732" s="22"/>
      <c r="D732" s="13"/>
    </row>
    <row r="733" spans="1:4">
      <c r="A733" s="18"/>
      <c r="B733" s="13"/>
      <c r="C733" s="22"/>
      <c r="D733" s="13"/>
    </row>
    <row r="734" spans="1:4">
      <c r="A734" s="18"/>
      <c r="B734" s="13"/>
      <c r="C734" s="22"/>
      <c r="D734" s="13"/>
    </row>
    <row r="735" spans="1:4">
      <c r="A735" s="18"/>
      <c r="B735" s="13"/>
      <c r="C735" s="22"/>
      <c r="D735" s="13"/>
    </row>
    <row r="736" spans="1:4">
      <c r="A736" s="18"/>
      <c r="B736" s="13"/>
      <c r="C736" s="22"/>
      <c r="D736" s="13"/>
    </row>
    <row r="737" spans="1:4">
      <c r="A737" s="18"/>
      <c r="B737" s="13"/>
      <c r="C737" s="22"/>
      <c r="D737" s="13"/>
    </row>
    <row r="738" spans="1:4">
      <c r="A738" s="18"/>
      <c r="B738" s="13"/>
      <c r="C738" s="22"/>
      <c r="D738" s="13"/>
    </row>
    <row r="739" spans="1:4">
      <c r="A739" s="18"/>
      <c r="B739" s="13"/>
      <c r="C739" s="22"/>
      <c r="D739" s="13"/>
    </row>
    <row r="740" spans="1:4">
      <c r="A740" s="18"/>
      <c r="B740" s="13"/>
      <c r="C740" s="22"/>
      <c r="D740" s="13"/>
    </row>
    <row r="741" spans="1:4">
      <c r="A741" s="18"/>
      <c r="B741" s="13"/>
      <c r="C741" s="22"/>
      <c r="D741" s="13"/>
    </row>
    <row r="742" spans="1:4">
      <c r="A742" s="18"/>
      <c r="B742" s="13"/>
      <c r="C742" s="22"/>
      <c r="D742" s="13"/>
    </row>
    <row r="743" spans="1:4">
      <c r="A743" s="18"/>
      <c r="B743" s="13"/>
      <c r="C743" s="22"/>
      <c r="D743" s="13"/>
    </row>
    <row r="744" spans="1:4">
      <c r="A744" s="18"/>
      <c r="B744" s="13"/>
      <c r="C744" s="22"/>
      <c r="D744" s="13"/>
    </row>
    <row r="745" spans="1:4">
      <c r="A745" s="18"/>
      <c r="B745" s="13"/>
      <c r="C745" s="22"/>
      <c r="D745" s="13"/>
    </row>
    <row r="746" spans="1:4">
      <c r="A746" s="18"/>
      <c r="B746" s="13"/>
      <c r="C746" s="22"/>
      <c r="D746" s="13"/>
    </row>
    <row r="747" spans="1:4">
      <c r="A747" s="18"/>
      <c r="B747" s="13"/>
      <c r="C747" s="22"/>
      <c r="D747" s="13"/>
    </row>
    <row r="748" spans="1:4">
      <c r="A748" s="18"/>
      <c r="B748" s="13"/>
      <c r="C748" s="22"/>
      <c r="D748" s="13"/>
    </row>
    <row r="749" spans="1:4">
      <c r="A749" s="18"/>
      <c r="B749" s="13"/>
      <c r="C749" s="22"/>
      <c r="D749" s="13"/>
    </row>
    <row r="750" spans="1:4">
      <c r="A750" s="18"/>
      <c r="B750" s="13"/>
      <c r="C750" s="22"/>
      <c r="D750" s="13"/>
    </row>
    <row r="751" spans="1:4">
      <c r="A751" s="18"/>
      <c r="B751" s="13"/>
      <c r="C751" s="22"/>
      <c r="D751" s="13"/>
    </row>
    <row r="752" spans="1:4">
      <c r="A752" s="18"/>
      <c r="B752" s="13"/>
      <c r="C752" s="22"/>
      <c r="D752" s="13"/>
    </row>
    <row r="753" spans="1:4">
      <c r="A753" s="18"/>
      <c r="B753" s="13"/>
      <c r="C753" s="22"/>
      <c r="D753" s="13"/>
    </row>
    <row r="754" spans="1:4">
      <c r="A754" s="18"/>
      <c r="B754" s="13"/>
      <c r="C754" s="22"/>
      <c r="D754" s="13"/>
    </row>
    <row r="755" spans="1:4">
      <c r="A755" s="18"/>
      <c r="B755" s="13"/>
      <c r="C755" s="22"/>
      <c r="D755" s="13"/>
    </row>
    <row r="756" spans="1:4">
      <c r="A756" s="18"/>
      <c r="B756" s="13"/>
      <c r="C756" s="22"/>
      <c r="D756" s="13"/>
    </row>
    <row r="757" spans="1:4">
      <c r="A757" s="18"/>
      <c r="B757" s="13"/>
      <c r="C757" s="22"/>
      <c r="D757" s="13"/>
    </row>
    <row r="758" spans="1:4">
      <c r="A758" s="18"/>
      <c r="B758" s="13"/>
      <c r="C758" s="22"/>
      <c r="D758" s="13"/>
    </row>
    <row r="759" spans="1:4">
      <c r="A759" s="18"/>
      <c r="B759" s="13"/>
      <c r="C759" s="22"/>
      <c r="D759" s="13"/>
    </row>
    <row r="760" spans="1:4">
      <c r="A760" s="18"/>
      <c r="B760" s="13"/>
      <c r="C760" s="22"/>
      <c r="D760" s="13"/>
    </row>
    <row r="761" spans="1:4">
      <c r="A761" s="18"/>
      <c r="B761" s="13"/>
      <c r="C761" s="22"/>
      <c r="D761" s="13"/>
    </row>
    <row r="762" spans="1:4">
      <c r="A762" s="18"/>
      <c r="B762" s="13"/>
      <c r="C762" s="22"/>
      <c r="D762" s="13"/>
    </row>
    <row r="763" spans="1:4">
      <c r="A763" s="18"/>
      <c r="B763" s="13"/>
      <c r="C763" s="22"/>
      <c r="D763" s="13"/>
    </row>
    <row r="764" spans="1:4">
      <c r="A764" s="18"/>
      <c r="B764" s="13"/>
      <c r="C764" s="22"/>
      <c r="D764" s="13"/>
    </row>
    <row r="765" spans="1:4">
      <c r="A765" s="18"/>
      <c r="B765" s="13"/>
      <c r="C765" s="22"/>
      <c r="D765" s="13"/>
    </row>
    <row r="766" spans="1:4">
      <c r="A766" s="18"/>
      <c r="B766" s="13"/>
      <c r="C766" s="22"/>
      <c r="D766" s="13"/>
    </row>
    <row r="767" spans="1:4">
      <c r="A767" s="18"/>
      <c r="B767" s="13"/>
      <c r="C767" s="22"/>
      <c r="D767" s="13"/>
    </row>
    <row r="768" spans="1:4">
      <c r="A768" s="18"/>
      <c r="B768" s="13"/>
      <c r="C768" s="22"/>
      <c r="D768" s="13"/>
    </row>
    <row r="769" spans="1:4">
      <c r="A769" s="18"/>
      <c r="B769" s="13"/>
      <c r="C769" s="22"/>
      <c r="D769" s="13"/>
    </row>
    <row r="770" spans="1:4">
      <c r="A770" s="18"/>
      <c r="B770" s="13"/>
      <c r="C770" s="22"/>
      <c r="D770" s="13"/>
    </row>
    <row r="771" spans="1:4">
      <c r="A771" s="18"/>
      <c r="B771" s="13"/>
      <c r="C771" s="22"/>
      <c r="D771" s="13"/>
    </row>
    <row r="772" spans="1:4">
      <c r="A772" s="18"/>
      <c r="B772" s="13"/>
      <c r="C772" s="22"/>
      <c r="D772" s="13"/>
    </row>
    <row r="773" spans="1:4">
      <c r="A773" s="18"/>
      <c r="B773" s="13"/>
      <c r="C773" s="22"/>
      <c r="D773" s="13"/>
    </row>
    <row r="774" spans="1:4">
      <c r="A774" s="18"/>
      <c r="B774" s="13"/>
      <c r="C774" s="22"/>
      <c r="D774" s="13"/>
    </row>
    <row r="775" spans="1:4">
      <c r="A775" s="18"/>
      <c r="B775" s="13"/>
      <c r="C775" s="22"/>
      <c r="D775" s="13"/>
    </row>
    <row r="776" spans="1:4">
      <c r="A776" s="18"/>
      <c r="B776" s="13"/>
      <c r="C776" s="22"/>
      <c r="D776" s="13"/>
    </row>
    <row r="777" spans="1:4">
      <c r="A777" s="18"/>
      <c r="B777" s="13"/>
      <c r="C777" s="22"/>
      <c r="D777" s="13"/>
    </row>
    <row r="778" spans="1:4">
      <c r="A778" s="18"/>
      <c r="B778" s="13"/>
      <c r="C778" s="22"/>
      <c r="D778" s="13"/>
    </row>
    <row r="779" spans="1:4">
      <c r="A779" s="18"/>
      <c r="B779" s="13"/>
      <c r="C779" s="22"/>
      <c r="D779" s="13"/>
    </row>
    <row r="780" spans="1:4">
      <c r="A780" s="18"/>
      <c r="B780" s="13"/>
      <c r="C780" s="22"/>
      <c r="D780" s="13"/>
    </row>
    <row r="781" spans="1:4">
      <c r="A781" s="18"/>
      <c r="B781" s="13"/>
      <c r="C781" s="22"/>
      <c r="D781" s="13"/>
    </row>
    <row r="782" spans="1:4">
      <c r="A782" s="18"/>
      <c r="B782" s="13"/>
      <c r="C782" s="22"/>
      <c r="D782" s="13"/>
    </row>
    <row r="783" spans="1:4">
      <c r="A783" s="18"/>
      <c r="B783" s="13"/>
      <c r="C783" s="22"/>
      <c r="D783" s="13"/>
    </row>
    <row r="784" spans="1:4">
      <c r="A784" s="18"/>
      <c r="B784" s="13"/>
      <c r="C784" s="22"/>
      <c r="D784" s="13"/>
    </row>
    <row r="785" spans="1:4">
      <c r="A785" s="18"/>
      <c r="B785" s="13"/>
      <c r="C785" s="22"/>
      <c r="D785" s="13"/>
    </row>
    <row r="786" spans="1:4">
      <c r="A786" s="18"/>
      <c r="B786" s="13"/>
      <c r="C786" s="22"/>
      <c r="D786" s="13"/>
    </row>
    <row r="787" spans="1:4">
      <c r="A787" s="18"/>
      <c r="B787" s="13"/>
      <c r="C787" s="22"/>
      <c r="D787" s="13"/>
    </row>
    <row r="788" spans="1:4">
      <c r="A788" s="18"/>
      <c r="B788" s="13"/>
      <c r="C788" s="22"/>
      <c r="D788" s="13"/>
    </row>
    <row r="789" spans="1:4">
      <c r="A789" s="18"/>
      <c r="B789" s="13"/>
      <c r="C789" s="22"/>
      <c r="D789" s="13"/>
    </row>
    <row r="790" spans="1:4">
      <c r="A790" s="18"/>
      <c r="B790" s="13"/>
      <c r="C790" s="22"/>
      <c r="D790" s="13"/>
    </row>
    <row r="791" spans="1:4">
      <c r="A791" s="18"/>
      <c r="B791" s="13"/>
      <c r="C791" s="22"/>
      <c r="D791" s="13"/>
    </row>
    <row r="792" spans="1:4">
      <c r="A792" s="18"/>
      <c r="B792" s="13"/>
      <c r="C792" s="22"/>
      <c r="D792" s="13"/>
    </row>
    <row r="793" spans="1:4">
      <c r="A793" s="18"/>
      <c r="B793" s="13"/>
      <c r="C793" s="22"/>
      <c r="D793" s="13"/>
    </row>
    <row r="794" spans="1:4">
      <c r="A794" s="18"/>
      <c r="B794" s="13"/>
      <c r="C794" s="22"/>
      <c r="D794" s="13"/>
    </row>
    <row r="795" spans="1:4">
      <c r="A795" s="18"/>
      <c r="B795" s="13"/>
      <c r="C795" s="22"/>
      <c r="D795" s="13"/>
    </row>
    <row r="796" spans="1:4">
      <c r="A796" s="18"/>
      <c r="B796" s="13"/>
      <c r="C796" s="22"/>
      <c r="D796" s="13"/>
    </row>
    <row r="797" spans="1:4">
      <c r="A797" s="18"/>
      <c r="B797" s="13"/>
      <c r="C797" s="22"/>
      <c r="D797" s="13"/>
    </row>
    <row r="798" spans="1:4">
      <c r="A798" s="18"/>
      <c r="B798" s="13"/>
      <c r="C798" s="22"/>
      <c r="D798" s="13"/>
    </row>
    <row r="799" spans="1:4">
      <c r="A799" s="18"/>
      <c r="B799" s="13"/>
      <c r="C799" s="22"/>
      <c r="D799" s="13"/>
    </row>
    <row r="800" spans="1:4">
      <c r="A800" s="18"/>
      <c r="B800" s="13"/>
      <c r="C800" s="22"/>
      <c r="D800" s="13"/>
    </row>
    <row r="801" spans="1:4">
      <c r="A801" s="18"/>
      <c r="B801" s="13"/>
      <c r="C801" s="22"/>
      <c r="D801" s="13"/>
    </row>
    <row r="802" spans="1:4">
      <c r="A802" s="18"/>
      <c r="B802" s="13"/>
      <c r="C802" s="22"/>
      <c r="D802" s="13"/>
    </row>
    <row r="803" spans="1:4">
      <c r="A803" s="18"/>
      <c r="B803" s="13"/>
      <c r="C803" s="22"/>
      <c r="D803" s="13"/>
    </row>
    <row r="804" spans="1:4">
      <c r="A804" s="18"/>
      <c r="B804" s="13"/>
      <c r="C804" s="22"/>
      <c r="D804" s="13"/>
    </row>
    <row r="805" spans="1:4">
      <c r="A805" s="18"/>
      <c r="B805" s="13"/>
      <c r="C805" s="22"/>
      <c r="D805" s="13"/>
    </row>
    <row r="806" spans="1:4">
      <c r="A806" s="18"/>
      <c r="B806" s="13"/>
      <c r="C806" s="22"/>
      <c r="D806" s="13"/>
    </row>
    <row r="807" spans="1:4">
      <c r="A807" s="18"/>
      <c r="B807" s="13"/>
      <c r="C807" s="22"/>
      <c r="D807" s="13"/>
    </row>
    <row r="808" spans="1:4">
      <c r="A808" s="18"/>
      <c r="B808" s="13"/>
      <c r="C808" s="22"/>
      <c r="D808" s="13"/>
    </row>
    <row r="809" spans="1:4">
      <c r="A809" s="18"/>
      <c r="B809" s="13"/>
      <c r="C809" s="22"/>
      <c r="D809" s="13"/>
    </row>
    <row r="810" spans="1:4">
      <c r="A810" s="18"/>
      <c r="B810" s="13"/>
      <c r="C810" s="22"/>
      <c r="D810" s="13"/>
    </row>
    <row r="811" spans="1:4">
      <c r="A811" s="18"/>
      <c r="B811" s="13"/>
      <c r="C811" s="22"/>
      <c r="D811" s="13"/>
    </row>
    <row r="812" spans="1:4">
      <c r="A812" s="18"/>
      <c r="B812" s="13"/>
      <c r="C812" s="22"/>
      <c r="D812" s="13"/>
    </row>
    <row r="813" spans="1:4">
      <c r="A813" s="18"/>
      <c r="B813" s="13"/>
      <c r="C813" s="22"/>
      <c r="D813" s="13"/>
    </row>
    <row r="814" spans="1:4">
      <c r="A814" s="18"/>
      <c r="B814" s="13"/>
      <c r="C814" s="22"/>
      <c r="D814" s="13"/>
    </row>
    <row r="815" spans="1:4">
      <c r="A815" s="18"/>
      <c r="B815" s="13"/>
      <c r="C815" s="22"/>
      <c r="D815" s="13"/>
    </row>
    <row r="816" spans="1:4">
      <c r="A816" s="18"/>
      <c r="B816" s="13"/>
      <c r="C816" s="22"/>
      <c r="D816" s="13"/>
    </row>
    <row r="817" spans="1:4">
      <c r="A817" s="18"/>
      <c r="B817" s="13"/>
      <c r="C817" s="22"/>
      <c r="D817" s="13"/>
    </row>
    <row r="818" spans="1:4">
      <c r="A818" s="18"/>
      <c r="B818" s="13"/>
      <c r="C818" s="22"/>
      <c r="D818" s="13"/>
    </row>
    <row r="819" spans="1:4">
      <c r="A819" s="18"/>
      <c r="B819" s="13"/>
      <c r="C819" s="22"/>
      <c r="D819" s="13"/>
    </row>
    <row r="820" spans="1:4">
      <c r="A820" s="18"/>
      <c r="B820" s="13"/>
      <c r="C820" s="22"/>
      <c r="D820" s="13"/>
    </row>
    <row r="821" spans="1:4">
      <c r="A821" s="18"/>
      <c r="B821" s="13"/>
      <c r="C821" s="22"/>
      <c r="D821" s="13"/>
    </row>
    <row r="822" spans="1:4">
      <c r="A822" s="18"/>
      <c r="B822" s="13"/>
      <c r="C822" s="22"/>
      <c r="D822" s="13"/>
    </row>
    <row r="823" spans="1:4">
      <c r="A823" s="18"/>
      <c r="B823" s="13"/>
      <c r="C823" s="22"/>
      <c r="D823" s="13"/>
    </row>
    <row r="824" spans="1:4">
      <c r="A824" s="18"/>
      <c r="B824" s="13"/>
      <c r="C824" s="22"/>
      <c r="D824" s="13"/>
    </row>
    <row r="825" spans="1:4">
      <c r="A825" s="18"/>
      <c r="B825" s="13"/>
      <c r="C825" s="22"/>
      <c r="D825" s="13"/>
    </row>
    <row r="826" spans="1:4">
      <c r="A826" s="18"/>
      <c r="B826" s="13"/>
      <c r="C826" s="22"/>
      <c r="D826" s="13"/>
    </row>
    <row r="827" spans="1:4">
      <c r="A827" s="18"/>
      <c r="B827" s="13"/>
      <c r="C827" s="22"/>
      <c r="D827" s="13"/>
    </row>
    <row r="828" spans="1:4">
      <c r="A828" s="18"/>
      <c r="B828" s="13"/>
      <c r="C828" s="22"/>
      <c r="D828" s="13"/>
    </row>
    <row r="829" spans="1:4">
      <c r="A829" s="18"/>
      <c r="B829" s="13"/>
      <c r="C829" s="22"/>
      <c r="D829" s="13"/>
    </row>
    <row r="830" spans="1:4">
      <c r="A830" s="18"/>
      <c r="B830" s="13"/>
      <c r="C830" s="22"/>
      <c r="D830" s="13"/>
    </row>
    <row r="831" spans="1:4">
      <c r="A831" s="18"/>
      <c r="B831" s="13"/>
      <c r="C831" s="22"/>
      <c r="D831" s="13"/>
    </row>
    <row r="832" spans="1:4">
      <c r="A832" s="18"/>
      <c r="B832" s="13"/>
      <c r="C832" s="22"/>
      <c r="D832" s="13"/>
    </row>
    <row r="833" spans="1:4">
      <c r="A833" s="18"/>
      <c r="B833" s="13"/>
      <c r="C833" s="22"/>
      <c r="D833" s="13"/>
    </row>
    <row r="834" spans="1:4">
      <c r="A834" s="18"/>
      <c r="B834" s="13"/>
      <c r="C834" s="22"/>
      <c r="D834" s="13"/>
    </row>
    <row r="835" spans="1:4">
      <c r="A835" s="18"/>
      <c r="B835" s="13"/>
      <c r="C835" s="22"/>
      <c r="D835" s="13"/>
    </row>
    <row r="836" spans="1:4">
      <c r="A836" s="18"/>
      <c r="B836" s="13"/>
      <c r="C836" s="22"/>
      <c r="D836" s="13"/>
    </row>
    <row r="837" spans="1:4">
      <c r="A837" s="18"/>
      <c r="B837" s="13"/>
      <c r="C837" s="22"/>
      <c r="D837" s="13"/>
    </row>
    <row r="838" spans="1:4">
      <c r="A838" s="18"/>
      <c r="B838" s="13"/>
      <c r="C838" s="22"/>
      <c r="D838" s="13"/>
    </row>
    <row r="839" spans="1:4">
      <c r="A839" s="18"/>
      <c r="B839" s="13"/>
      <c r="C839" s="22"/>
      <c r="D839" s="13"/>
    </row>
    <row r="840" spans="1:4">
      <c r="A840" s="18"/>
      <c r="B840" s="13"/>
      <c r="C840" s="22"/>
      <c r="D840" s="13"/>
    </row>
    <row r="841" spans="1:4">
      <c r="A841" s="18"/>
      <c r="B841" s="13"/>
      <c r="C841" s="22"/>
      <c r="D841" s="13"/>
    </row>
    <row r="842" spans="1:4">
      <c r="A842" s="18"/>
      <c r="B842" s="13"/>
      <c r="C842" s="22"/>
      <c r="D842" s="13"/>
    </row>
    <row r="843" spans="1:4">
      <c r="A843" s="18"/>
      <c r="B843" s="13"/>
      <c r="C843" s="22"/>
      <c r="D843" s="13"/>
    </row>
    <row r="844" spans="1:4">
      <c r="A844" s="18"/>
      <c r="B844" s="13"/>
      <c r="C844" s="22"/>
      <c r="D844" s="13"/>
    </row>
    <row r="845" spans="1:4">
      <c r="A845" s="18"/>
      <c r="B845" s="13"/>
      <c r="C845" s="22"/>
      <c r="D845" s="13"/>
    </row>
    <row r="846" spans="1:4">
      <c r="A846" s="18"/>
      <c r="B846" s="13"/>
      <c r="C846" s="22"/>
      <c r="D846" s="13"/>
    </row>
    <row r="847" spans="1:4">
      <c r="A847" s="18"/>
      <c r="B847" s="13"/>
      <c r="C847" s="22"/>
      <c r="D847" s="13"/>
    </row>
    <row r="848" spans="1:4">
      <c r="A848" s="18"/>
      <c r="B848" s="13"/>
      <c r="C848" s="22"/>
      <c r="D848" s="13"/>
    </row>
    <row r="849" spans="1:4">
      <c r="A849" s="18"/>
      <c r="B849" s="13"/>
      <c r="C849" s="22"/>
      <c r="D849" s="13"/>
    </row>
    <row r="850" spans="1:4">
      <c r="A850" s="18"/>
      <c r="B850" s="13"/>
      <c r="C850" s="22"/>
      <c r="D850" s="13"/>
    </row>
    <row r="851" spans="1:4">
      <c r="A851" s="18"/>
      <c r="B851" s="13"/>
      <c r="C851" s="22"/>
      <c r="D851" s="13"/>
    </row>
    <row r="852" spans="1:4">
      <c r="A852" s="18"/>
      <c r="B852" s="13"/>
      <c r="C852" s="22"/>
      <c r="D852" s="13"/>
    </row>
    <row r="853" spans="1:4">
      <c r="A853" s="18"/>
      <c r="B853" s="13"/>
      <c r="C853" s="22"/>
      <c r="D853" s="13"/>
    </row>
    <row r="854" spans="1:4">
      <c r="A854" s="18"/>
      <c r="B854" s="13"/>
      <c r="C854" s="22"/>
      <c r="D854" s="13"/>
    </row>
    <row r="855" spans="1:4">
      <c r="A855" s="18"/>
      <c r="B855" s="13"/>
      <c r="C855" s="22"/>
      <c r="D855" s="13"/>
    </row>
    <row r="856" spans="1:4">
      <c r="A856" s="18"/>
      <c r="B856" s="13"/>
      <c r="C856" s="22"/>
      <c r="D856" s="13"/>
    </row>
    <row r="857" spans="1:4">
      <c r="A857" s="18"/>
      <c r="B857" s="13"/>
      <c r="C857" s="22"/>
      <c r="D857" s="13"/>
    </row>
    <row r="858" spans="1:4">
      <c r="A858" s="18"/>
      <c r="B858" s="13"/>
      <c r="C858" s="22"/>
      <c r="D858" s="13"/>
    </row>
    <row r="859" spans="1:4">
      <c r="A859" s="18"/>
      <c r="B859" s="13"/>
      <c r="C859" s="22"/>
      <c r="D859" s="13"/>
    </row>
    <row r="860" spans="1:4">
      <c r="A860" s="18"/>
      <c r="B860" s="13"/>
      <c r="C860" s="22"/>
      <c r="D860" s="13"/>
    </row>
    <row r="861" spans="1:4">
      <c r="A861" s="18"/>
      <c r="B861" s="13"/>
      <c r="C861" s="22"/>
      <c r="D861" s="13"/>
    </row>
    <row r="862" spans="1:4">
      <c r="A862" s="18"/>
      <c r="B862" s="13"/>
      <c r="C862" s="22"/>
      <c r="D862" s="13"/>
    </row>
    <row r="863" spans="1:4">
      <c r="A863" s="18"/>
      <c r="B863" s="13"/>
      <c r="C863" s="22"/>
      <c r="D863" s="13"/>
    </row>
    <row r="864" spans="1:4">
      <c r="A864" s="18"/>
      <c r="B864" s="13"/>
      <c r="C864" s="22"/>
      <c r="D864" s="13"/>
    </row>
    <row r="865" spans="1:4">
      <c r="A865" s="18"/>
      <c r="B865" s="13"/>
      <c r="C865" s="22"/>
      <c r="D865" s="13"/>
    </row>
    <row r="866" spans="1:4">
      <c r="A866" s="18"/>
      <c r="B866" s="13"/>
      <c r="C866" s="22"/>
      <c r="D866" s="13"/>
    </row>
    <row r="867" spans="1:4">
      <c r="A867" s="18"/>
      <c r="B867" s="13"/>
      <c r="C867" s="22"/>
      <c r="D867" s="13"/>
    </row>
    <row r="868" spans="1:4">
      <c r="A868" s="18"/>
      <c r="B868" s="13"/>
      <c r="C868" s="22"/>
      <c r="D868" s="13"/>
    </row>
    <row r="869" spans="1:4">
      <c r="A869" s="18"/>
      <c r="B869" s="13"/>
      <c r="C869" s="22"/>
      <c r="D869" s="13"/>
    </row>
    <row r="870" spans="1:4">
      <c r="A870" s="18"/>
      <c r="B870" s="13"/>
      <c r="C870" s="22"/>
      <c r="D870" s="13"/>
    </row>
    <row r="871" spans="1:4">
      <c r="A871" s="18"/>
      <c r="B871" s="13"/>
      <c r="C871" s="22"/>
      <c r="D871" s="13"/>
    </row>
    <row r="872" spans="1:4">
      <c r="A872" s="18"/>
      <c r="B872" s="13"/>
      <c r="C872" s="22"/>
      <c r="D872" s="13"/>
    </row>
    <row r="873" spans="1:4">
      <c r="A873" s="18"/>
      <c r="B873" s="13"/>
      <c r="C873" s="22"/>
      <c r="D873" s="13"/>
    </row>
    <row r="874" spans="1:4">
      <c r="A874" s="18"/>
      <c r="B874" s="13"/>
      <c r="C874" s="22"/>
      <c r="D874" s="13"/>
    </row>
    <row r="875" spans="1:4">
      <c r="A875" s="18"/>
      <c r="B875" s="13"/>
      <c r="C875" s="22"/>
      <c r="D875" s="13"/>
    </row>
    <row r="876" spans="1:4">
      <c r="A876" s="18"/>
      <c r="B876" s="13"/>
      <c r="C876" s="22"/>
      <c r="D876" s="13"/>
    </row>
    <row r="877" spans="1:4">
      <c r="A877" s="18"/>
      <c r="B877" s="13"/>
      <c r="C877" s="22"/>
      <c r="D877" s="13"/>
    </row>
    <row r="878" spans="1:4">
      <c r="A878" s="18"/>
      <c r="B878" s="13"/>
      <c r="C878" s="22"/>
      <c r="D878" s="13"/>
    </row>
    <row r="879" spans="1:4">
      <c r="A879" s="18"/>
      <c r="B879" s="13"/>
      <c r="C879" s="22"/>
      <c r="D879" s="13"/>
    </row>
    <row r="880" spans="1:4">
      <c r="A880" s="18"/>
      <c r="B880" s="13"/>
      <c r="C880" s="22"/>
      <c r="D880" s="13"/>
    </row>
    <row r="881" spans="1:4">
      <c r="A881" s="18"/>
      <c r="B881" s="13"/>
      <c r="C881" s="22"/>
      <c r="D881" s="13"/>
    </row>
    <row r="882" spans="1:4">
      <c r="A882" s="18"/>
      <c r="B882" s="13"/>
      <c r="C882" s="22"/>
      <c r="D882" s="13"/>
    </row>
    <row r="883" spans="1:4">
      <c r="A883" s="18"/>
      <c r="B883" s="13"/>
      <c r="C883" s="22"/>
      <c r="D883" s="13"/>
    </row>
    <row r="884" spans="1:4">
      <c r="A884" s="18"/>
      <c r="B884" s="13"/>
      <c r="C884" s="22"/>
      <c r="D884" s="13"/>
    </row>
    <row r="885" spans="1:4">
      <c r="A885" s="18"/>
      <c r="B885" s="13"/>
      <c r="C885" s="22"/>
      <c r="D885" s="13"/>
    </row>
    <row r="886" spans="1:4">
      <c r="A886" s="18"/>
      <c r="B886" s="13"/>
      <c r="C886" s="22"/>
      <c r="D886" s="13"/>
    </row>
    <row r="887" spans="1:4">
      <c r="A887" s="18"/>
      <c r="B887" s="13"/>
      <c r="C887" s="22"/>
      <c r="D887" s="13"/>
    </row>
    <row r="888" spans="1:4">
      <c r="A888" s="18"/>
      <c r="B888" s="13"/>
      <c r="C888" s="22"/>
      <c r="D888" s="13"/>
    </row>
    <row r="889" spans="1:4">
      <c r="A889" s="18"/>
      <c r="B889" s="13"/>
      <c r="C889" s="22"/>
      <c r="D889" s="13"/>
    </row>
    <row r="890" spans="1:4">
      <c r="A890" s="18"/>
      <c r="B890" s="13"/>
      <c r="C890" s="22"/>
      <c r="D890" s="13"/>
    </row>
    <row r="891" spans="1:4">
      <c r="A891" s="18"/>
      <c r="B891" s="13"/>
      <c r="C891" s="22"/>
      <c r="D891" s="13"/>
    </row>
    <row r="892" spans="1:4">
      <c r="A892" s="18"/>
      <c r="B892" s="13"/>
      <c r="C892" s="22"/>
      <c r="D892" s="13"/>
    </row>
    <row r="893" spans="1:4">
      <c r="A893" s="18"/>
      <c r="B893" s="13"/>
      <c r="C893" s="22"/>
      <c r="D893" s="13"/>
    </row>
    <row r="894" spans="1:4">
      <c r="A894" s="18"/>
      <c r="B894" s="13"/>
      <c r="C894" s="22"/>
      <c r="D894" s="13"/>
    </row>
    <row r="895" spans="1:4">
      <c r="A895" s="18"/>
      <c r="B895" s="13"/>
      <c r="C895" s="22"/>
      <c r="D895" s="13"/>
    </row>
    <row r="896" spans="1:4">
      <c r="A896" s="18"/>
      <c r="B896" s="13"/>
      <c r="C896" s="22"/>
      <c r="D896" s="13"/>
    </row>
    <row r="897" spans="1:4">
      <c r="A897" s="18"/>
      <c r="B897" s="13"/>
      <c r="C897" s="22"/>
      <c r="D897" s="13"/>
    </row>
    <row r="898" spans="1:4">
      <c r="A898" s="18"/>
      <c r="B898" s="13"/>
      <c r="C898" s="22"/>
      <c r="D898" s="13"/>
    </row>
    <row r="899" spans="1:4">
      <c r="A899" s="18"/>
      <c r="B899" s="13"/>
      <c r="C899" s="22"/>
      <c r="D899" s="13"/>
    </row>
    <row r="900" spans="1:4">
      <c r="A900" s="18"/>
      <c r="B900" s="13"/>
      <c r="C900" s="22"/>
      <c r="D900" s="13"/>
    </row>
    <row r="901" spans="1:4">
      <c r="A901" s="18"/>
      <c r="B901" s="13"/>
      <c r="C901" s="22"/>
      <c r="D901" s="13"/>
    </row>
    <row r="902" spans="1:4">
      <c r="A902" s="18"/>
      <c r="B902" s="13"/>
      <c r="C902" s="22"/>
      <c r="D902" s="13"/>
    </row>
    <row r="903" spans="1:4">
      <c r="A903" s="18"/>
      <c r="B903" s="13"/>
      <c r="C903" s="22"/>
      <c r="D903" s="13"/>
    </row>
    <row r="904" spans="1:4">
      <c r="A904" s="18"/>
      <c r="B904" s="13"/>
      <c r="C904" s="22"/>
      <c r="D904" s="13"/>
    </row>
    <row r="905" spans="1:4">
      <c r="A905" s="18"/>
      <c r="B905" s="13"/>
      <c r="C905" s="22"/>
      <c r="D905" s="13"/>
    </row>
    <row r="906" spans="1:4">
      <c r="A906" s="18"/>
      <c r="B906" s="13"/>
      <c r="C906" s="22"/>
      <c r="D906" s="13"/>
    </row>
    <row r="907" spans="1:4">
      <c r="A907" s="18"/>
      <c r="B907" s="13"/>
      <c r="C907" s="22"/>
      <c r="D907" s="13"/>
    </row>
    <row r="908" spans="1:4">
      <c r="A908" s="18"/>
      <c r="B908" s="13"/>
      <c r="C908" s="22"/>
      <c r="D908" s="13"/>
    </row>
    <row r="909" spans="1:4">
      <c r="A909" s="18"/>
      <c r="B909" s="13"/>
      <c r="C909" s="22"/>
      <c r="D909" s="13"/>
    </row>
    <row r="910" spans="1:4">
      <c r="A910" s="18"/>
      <c r="B910" s="13"/>
      <c r="C910" s="22"/>
      <c r="D910" s="13"/>
    </row>
    <row r="911" spans="1:4">
      <c r="A911" s="18"/>
      <c r="B911" s="13"/>
      <c r="C911" s="22"/>
      <c r="D911" s="13"/>
    </row>
    <row r="912" spans="1:4">
      <c r="A912" s="18"/>
      <c r="B912" s="13"/>
      <c r="C912" s="22"/>
      <c r="D912" s="13"/>
    </row>
    <row r="913" spans="1:4">
      <c r="A913" s="18"/>
      <c r="B913" s="13"/>
      <c r="C913" s="22"/>
      <c r="D913" s="13"/>
    </row>
    <row r="914" spans="1:4">
      <c r="A914" s="18"/>
      <c r="B914" s="13"/>
      <c r="C914" s="22"/>
      <c r="D914" s="13"/>
    </row>
    <row r="915" spans="1:4">
      <c r="A915" s="18"/>
      <c r="B915" s="13"/>
      <c r="C915" s="22"/>
      <c r="D915" s="13"/>
    </row>
    <row r="916" spans="1:4">
      <c r="A916" s="18"/>
      <c r="B916" s="13"/>
      <c r="C916" s="22"/>
      <c r="D916" s="13"/>
    </row>
    <row r="917" spans="1:4">
      <c r="A917" s="18"/>
      <c r="B917" s="13"/>
      <c r="C917" s="22"/>
      <c r="D917" s="13"/>
    </row>
    <row r="918" spans="1:4">
      <c r="A918" s="18"/>
      <c r="B918" s="13"/>
      <c r="C918" s="22"/>
      <c r="D918" s="13"/>
    </row>
    <row r="919" spans="1:4">
      <c r="A919" s="18"/>
      <c r="B919" s="13"/>
      <c r="C919" s="22"/>
      <c r="D919" s="13"/>
    </row>
    <row r="920" spans="1:4">
      <c r="A920" s="18"/>
      <c r="B920" s="13"/>
      <c r="C920" s="22"/>
      <c r="D920" s="13"/>
    </row>
    <row r="921" spans="1:4">
      <c r="A921" s="18"/>
      <c r="B921" s="13"/>
      <c r="C921" s="22"/>
      <c r="D921" s="13"/>
    </row>
    <row r="922" spans="1:4">
      <c r="A922" s="18"/>
      <c r="B922" s="13"/>
      <c r="C922" s="22"/>
      <c r="D922" s="22"/>
    </row>
    <row r="923" spans="1:4">
      <c r="A923" s="18"/>
      <c r="B923" s="13"/>
      <c r="C923" s="22"/>
      <c r="D923" s="22"/>
    </row>
  </sheetData>
  <sheetProtection sheet="1" objects="1" scenarios="1"/>
  <mergeCells count="42">
    <mergeCell ref="B6:D6"/>
    <mergeCell ref="A1:D1"/>
    <mergeCell ref="B2:D2"/>
    <mergeCell ref="B3:D3"/>
    <mergeCell ref="B4:D4"/>
    <mergeCell ref="B5:D5"/>
    <mergeCell ref="A124:D124"/>
    <mergeCell ref="B7:D7"/>
    <mergeCell ref="B8:D8"/>
    <mergeCell ref="A10:D10"/>
    <mergeCell ref="A19:D19"/>
    <mergeCell ref="A32:D32"/>
    <mergeCell ref="A47:D47"/>
    <mergeCell ref="A56:D56"/>
    <mergeCell ref="A67:D67"/>
    <mergeCell ref="A90:D90"/>
    <mergeCell ref="A103:D103"/>
    <mergeCell ref="A113:D113"/>
    <mergeCell ref="A231:D231"/>
    <mergeCell ref="A135:D135"/>
    <mergeCell ref="A144:D144"/>
    <mergeCell ref="A154:D154"/>
    <mergeCell ref="A163:D163"/>
    <mergeCell ref="A172:D172"/>
    <mergeCell ref="A180:D180"/>
    <mergeCell ref="A188:D188"/>
    <mergeCell ref="A197:D197"/>
    <mergeCell ref="A206:D206"/>
    <mergeCell ref="A214:D214"/>
    <mergeCell ref="A222:D222"/>
    <mergeCell ref="A339:D339"/>
    <mergeCell ref="A240:D240"/>
    <mergeCell ref="A249:D249"/>
    <mergeCell ref="A258:D258"/>
    <mergeCell ref="A267:D267"/>
    <mergeCell ref="A276:D276"/>
    <mergeCell ref="A285:D285"/>
    <mergeCell ref="A294:D294"/>
    <mergeCell ref="A303:D303"/>
    <mergeCell ref="A312:D312"/>
    <mergeCell ref="A320:D320"/>
    <mergeCell ref="A331:D331"/>
  </mergeCells>
  <dataValidations count="1">
    <dataValidation type="list" allowBlank="1" showInputMessage="1" showErrorMessage="1" sqref="B7:D7">
      <formula1>Quest3</formula1>
    </dataValidation>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Props1.xml><?xml version="1.0" encoding="utf-8"?>
<ds:datastoreItem xmlns:ds="http://schemas.openxmlformats.org/officeDocument/2006/customXml" ds:itemID="{69A176FC-8C5A-47D6-BBD2-8DF762BDB085}">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77</vt:i4>
      </vt:variant>
    </vt:vector>
  </HeadingPairs>
  <TitlesOfParts>
    <vt:vector size="87" baseType="lpstr">
      <vt:lpstr>Instructions for Use</vt:lpstr>
      <vt:lpstr>Validation List</vt:lpstr>
      <vt:lpstr>Survey Tool</vt:lpstr>
      <vt:lpstr>Comments</vt:lpstr>
      <vt:lpstr>OverallResults</vt:lpstr>
      <vt:lpstr>QIP</vt:lpstr>
      <vt:lpstr>Search by Gender</vt:lpstr>
      <vt:lpstr>Search by Age</vt:lpstr>
      <vt:lpstr>Search by Health Card</vt:lpstr>
      <vt:lpstr>Search by PCT</vt:lpstr>
      <vt:lpstr>'Search by Age'!Condition_1</vt:lpstr>
      <vt:lpstr>'Search by Gender'!Condition_1</vt:lpstr>
      <vt:lpstr>'Search by Health Card'!Condition_1</vt:lpstr>
      <vt:lpstr>'Search by PCT'!Condition_1</vt:lpstr>
      <vt:lpstr>Condition_1</vt:lpstr>
      <vt:lpstr>No_in_Audit</vt:lpstr>
      <vt:lpstr>'Search by Age'!No_who_answered_survey</vt:lpstr>
      <vt:lpstr>'Search by Gender'!No_who_answered_survey</vt:lpstr>
      <vt:lpstr>'Search by Health Card'!No_who_answered_survey</vt:lpstr>
      <vt:lpstr>'Search by PCT'!No_who_answered_survey</vt:lpstr>
      <vt:lpstr>Comments!Not_answered</vt:lpstr>
      <vt:lpstr>'Search by Age'!Not_answered</vt:lpstr>
      <vt:lpstr>'Search by Health Card'!Not_answered</vt:lpstr>
      <vt:lpstr>'Search by PCT'!Not_answered</vt:lpstr>
      <vt:lpstr>Not_answered</vt:lpstr>
      <vt:lpstr>Quest1</vt:lpstr>
      <vt:lpstr>Quest10</vt:lpstr>
      <vt:lpstr>Quest11</vt:lpstr>
      <vt:lpstr>Quest12</vt:lpstr>
      <vt:lpstr>Quest13</vt:lpstr>
      <vt:lpstr>Quest14</vt:lpstr>
      <vt:lpstr>Quest15</vt:lpstr>
      <vt:lpstr>Quest16</vt:lpstr>
      <vt:lpstr>Quest17</vt:lpstr>
      <vt:lpstr>Quest18</vt:lpstr>
      <vt:lpstr>Quest19</vt:lpstr>
      <vt:lpstr>Quest2</vt:lpstr>
      <vt:lpstr>Quest20</vt:lpstr>
      <vt:lpstr>Quest21</vt:lpstr>
      <vt:lpstr>Quest22</vt:lpstr>
      <vt:lpstr>Quest23</vt:lpstr>
      <vt:lpstr>Quest24</vt:lpstr>
      <vt:lpstr>Quest25</vt:lpstr>
      <vt:lpstr>Quest26</vt:lpstr>
      <vt:lpstr>Quest27</vt:lpstr>
      <vt:lpstr>Quest28</vt:lpstr>
      <vt:lpstr>Quest29</vt:lpstr>
      <vt:lpstr>Quest3</vt:lpstr>
      <vt:lpstr>Quest30</vt:lpstr>
      <vt:lpstr>Quest31</vt:lpstr>
      <vt:lpstr>Quest32</vt:lpstr>
      <vt:lpstr>Quest33</vt:lpstr>
      <vt:lpstr>Quest34</vt:lpstr>
      <vt:lpstr>Quest35</vt:lpstr>
      <vt:lpstr>Quest36</vt:lpstr>
      <vt:lpstr>Quest37</vt:lpstr>
      <vt:lpstr>Quest38</vt:lpstr>
      <vt:lpstr>Quest39</vt:lpstr>
      <vt:lpstr>Quest4</vt:lpstr>
      <vt:lpstr>Quest40</vt:lpstr>
      <vt:lpstr>Quest41</vt:lpstr>
      <vt:lpstr>Quest42</vt:lpstr>
      <vt:lpstr>Quest43</vt:lpstr>
      <vt:lpstr>Quest44</vt:lpstr>
      <vt:lpstr>Quest45</vt:lpstr>
      <vt:lpstr>Quest46</vt:lpstr>
      <vt:lpstr>Quest47</vt:lpstr>
      <vt:lpstr>Quest48</vt:lpstr>
      <vt:lpstr>Quest49</vt:lpstr>
      <vt:lpstr>Quest5</vt:lpstr>
      <vt:lpstr>Quest50</vt:lpstr>
      <vt:lpstr>Quest51</vt:lpstr>
      <vt:lpstr>Quest52</vt:lpstr>
      <vt:lpstr>Quest53</vt:lpstr>
      <vt:lpstr>Quest54</vt:lpstr>
      <vt:lpstr>Quest55</vt:lpstr>
      <vt:lpstr>Quest56</vt:lpstr>
      <vt:lpstr>Quest57</vt:lpstr>
      <vt:lpstr>Quest58</vt:lpstr>
      <vt:lpstr>Quest59</vt:lpstr>
      <vt:lpstr>Quest6</vt:lpstr>
      <vt:lpstr>Quest60</vt:lpstr>
      <vt:lpstr>Quest61</vt:lpstr>
      <vt:lpstr>Quest62</vt:lpstr>
      <vt:lpstr>Quest7</vt:lpstr>
      <vt:lpstr>Quest8</vt:lpstr>
      <vt:lpstr>Quest9</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 O'Grady</dc:creator>
  <cp:lastModifiedBy>Admin</cp:lastModifiedBy>
  <cp:lastPrinted>2016-02-05T13:58:37Z</cp:lastPrinted>
  <dcterms:created xsi:type="dcterms:W3CDTF">2016-02-05T09:25:37Z</dcterms:created>
  <dcterms:modified xsi:type="dcterms:W3CDTF">2018-05-01T14:47:06Z</dcterms:modified>
</cp:coreProperties>
</file>