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89.xml" ContentType="application/vnd.openxmlformats-officedocument.drawingml.chart+xml"/>
  <Override PartName="/xl/charts/chart88.xml" ContentType="application/vnd.openxmlformats-officedocument.drawingml.chart+xml"/>
  <Override PartName="/xl/charts/chart87.xml" ContentType="application/vnd.openxmlformats-officedocument.drawingml.chart+xml"/>
  <Override PartName="/xl/charts/chart86.xml" ContentType="application/vnd.openxmlformats-officedocument.drawingml.chart+xml"/>
  <Override PartName="/xl/charts/chart85.xml" ContentType="application/vnd.openxmlformats-officedocument.drawingml.chart+xml"/>
  <Override PartName="/xl/charts/chart84.xml" ContentType="application/vnd.openxmlformats-officedocument.drawingml.chart+xml"/>
  <Override PartName="/xl/charts/chart83.xml" ContentType="application/vnd.openxmlformats-officedocument.drawingml.chart+xml"/>
  <Override PartName="/xl/charts/chart82.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9.xml" ContentType="application/vnd.openxmlformats-officedocument.drawingml.chart+xml"/>
  <Override PartName="/xl/charts/chart98.xml" ContentType="application/vnd.openxmlformats-officedocument.drawingml.chart+xml"/>
  <Override PartName="/xl/charts/chart97.xml" ContentType="application/vnd.openxmlformats-officedocument.drawingml.chart+xml"/>
  <Override PartName="/xl/charts/chart96.xml" ContentType="application/vnd.openxmlformats-officedocument.drawingml.chart+xml"/>
  <Override PartName="/xl/charts/chart95.xml" ContentType="application/vnd.openxmlformats-officedocument.drawingml.chart+xml"/>
  <Override PartName="/xl/charts/chart94.xml" ContentType="application/vnd.openxmlformats-officedocument.drawingml.chart+xml"/>
  <Override PartName="/xl/charts/chart93.xml" ContentType="application/vnd.openxmlformats-officedocument.drawingml.chart+xml"/>
  <Override PartName="/xl/charts/chart81.xml" ContentType="application/vnd.openxmlformats-officedocument.drawingml.chart+xml"/>
  <Override PartName="/xl/charts/chart80.xml" ContentType="application/vnd.openxmlformats-officedocument.drawingml.chart+xml"/>
  <Override PartName="/xl/charts/chart79.xml" ContentType="application/vnd.openxmlformats-officedocument.drawingml.chart+xml"/>
  <Override PartName="/xl/charts/chart68.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4.xml" ContentType="application/vnd.openxmlformats-officedocument.drawingml.chart+xml"/>
  <Override PartName="/xl/charts/chart63.xml" ContentType="application/vnd.openxmlformats-officedocument.drawingml.chart+xml"/>
  <Override PartName="/xl/worksheets/sheet1.xml" ContentType="application/vnd.openxmlformats-officedocument.spreadsheetml.worksheet+xml"/>
  <Override PartName="/xl/charts/chart61.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8.xml" ContentType="application/vnd.openxmlformats-officedocument.drawingml.chart+xml"/>
  <Override PartName="/xl/charts/chart77.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74.xml" ContentType="application/vnd.openxmlformats-officedocument.drawingml.chart+xml"/>
  <Override PartName="/xl/charts/chart73.xml" ContentType="application/vnd.openxmlformats-officedocument.drawingml.chart+xml"/>
  <Override PartName="/xl/charts/chart72.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charts/chart122.xml" ContentType="application/vnd.openxmlformats-officedocument.drawingml.chart+xml"/>
  <Override PartName="/xl/charts/chart121.xml" ContentType="application/vnd.openxmlformats-officedocument.drawingml.chart+xml"/>
  <Override PartName="/xl/charts/chart110.xml" ContentType="application/vnd.openxmlformats-officedocument.drawingml.chart+xml"/>
  <Override PartName="/xl/charts/chart109.xml" ContentType="application/vnd.openxmlformats-officedocument.drawingml.chart+xml"/>
  <Override PartName="/xl/charts/chart108.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5.xml" ContentType="application/vnd.openxmlformats-officedocument.drawingml.chart+xml"/>
  <Override PartName="/xl/charts/chart104.xml" ContentType="application/vnd.openxmlformats-officedocument.drawingml.chart+xml"/>
  <Override PartName="/xl/charts/chart103.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20.xml" ContentType="application/vnd.openxmlformats-officedocument.drawingml.chart+xml"/>
  <Override PartName="/xl/charts/chart119.xml" ContentType="application/vnd.openxmlformats-officedocument.drawingml.chart+xml"/>
  <Override PartName="/xl/charts/chart118.xml" ContentType="application/vnd.openxmlformats-officedocument.drawingml.chart+xml"/>
  <Override PartName="/xl/charts/chart117.xml" ContentType="application/vnd.openxmlformats-officedocument.drawingml.chart+xml"/>
  <Override PartName="/xl/charts/chart116.xml" ContentType="application/vnd.openxmlformats-officedocument.drawingml.chart+xml"/>
  <Override PartName="/xl/charts/chart115.xml" ContentType="application/vnd.openxmlformats-officedocument.drawingml.chart+xml"/>
  <Override PartName="/xl/charts/chart114.xml" ContentType="application/vnd.openxmlformats-officedocument.drawingml.chart+xml"/>
  <Override PartName="/xl/drawings/drawing3.xml" ContentType="application/vnd.openxmlformats-officedocument.drawing+xml"/>
  <Override PartName="/xl/charts/chart62.xml" ContentType="application/vnd.openxmlformats-officedocument.drawingml.chart+xml"/>
  <Override PartName="/xl/theme/theme1.xml" ContentType="application/vnd.openxmlformats-officedocument.theme+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6.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worksheets/sheet5.xml" ContentType="application/vnd.openxmlformats-officedocument.spreadsheetml.worksheet+xml"/>
  <Override PartName="/xl/charts/chart2.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drawings/drawing2.xml" ContentType="application/vnd.openxmlformats-officedocument.drawing+xml"/>
  <Override PartName="/xl/sharedStrings.xml" ContentType="application/vnd.openxmlformats-officedocument.spreadsheetml.sharedString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60.xml" ContentType="application/vnd.openxmlformats-officedocument.drawingml.char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charts/chart56.xml" ContentType="application/vnd.openxmlformats-officedocument.drawingml.chart+xml"/>
  <Override PartName="/xl/charts/chart55.xml" ContentType="application/vnd.openxmlformats-officedocument.drawingml.chart+xml"/>
  <Override PartName="/xl/charts/chart47.xml" ContentType="application/vnd.openxmlformats-officedocument.drawingml.chart+xml"/>
  <Override PartName="/xl/charts/chart46.xml" ContentType="application/vnd.openxmlformats-officedocument.drawingml.chart+xml"/>
  <Override PartName="/xl/charts/chart45.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44.xml" ContentType="application/vnd.openxmlformats-officedocument.drawingml.chart+xml"/>
  <Override PartName="/xl/charts/chart43.xml" ContentType="application/vnd.openxmlformats-officedocument.drawingml.chart+xml"/>
  <Override PartName="/xl/styles.xml" ContentType="application/vnd.openxmlformats-officedocument.spreadsheetml.styles+xml"/>
  <Override PartName="/xl/charts/chart42.xml" ContentType="application/vnd.openxmlformats-officedocument.drawingml.chart+xml"/>
  <Override PartName="/xl/charts/chart40.xml" ContentType="application/vnd.openxmlformats-officedocument.drawingml.chart+xml"/>
  <Override PartName="/xl/charts/chart39.xml" ContentType="application/vnd.openxmlformats-officedocument.drawingml.chart+xml"/>
  <Override PartName="/xl/charts/chart4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6275" windowHeight="7995" activeTab="9"/>
  </bookViews>
  <sheets>
    <sheet name="Instructions" sheetId="7" r:id="rId1"/>
    <sheet name="Validation List" sheetId="1" state="hidden" r:id="rId2"/>
    <sheet name="Survey Tool" sheetId="2" r:id="rId3"/>
    <sheet name="OverallResults" sheetId="3" state="hidden" r:id="rId4"/>
    <sheet name="Overall Results" sheetId="11" r:id="rId5"/>
    <sheet name="Graphs" sheetId="10" state="hidden" r:id="rId6"/>
    <sheet name="Graphs " sheetId="13" r:id="rId7"/>
    <sheet name="Comments" sheetId="8" r:id="rId8"/>
    <sheet name="Condition A" sheetId="5" state="hidden" r:id="rId9"/>
    <sheet name="document control" sheetId="14" r:id="rId10"/>
  </sheets>
  <definedNames>
    <definedName name="Clinical_Background" localSheetId="5">#REF!</definedName>
    <definedName name="Clinical_Background" localSheetId="6">#REF!</definedName>
    <definedName name="Clinical_Background" localSheetId="4">#REF!</definedName>
    <definedName name="Clinical_Background">#REF!</definedName>
    <definedName name="Condition_1" localSheetId="8">'Condition A'!$B$7</definedName>
    <definedName name="Condition_1">'Condition A'!$B$7</definedName>
    <definedName name="No_in_Audit">'Survey Tool'!$B$6</definedName>
    <definedName name="No_who_answered_survey" localSheetId="8">'Condition A'!$B$8</definedName>
    <definedName name="No_who_answered_survey" localSheetId="5">#REF!</definedName>
    <definedName name="No_who_answered_survey" localSheetId="6">#REF!</definedName>
    <definedName name="No_who_answered_survey" localSheetId="4">#REF!</definedName>
    <definedName name="No_who_answered_survey">#REF!</definedName>
    <definedName name="Not_answered" localSheetId="7">Table2[How comfortable is your centre? ]</definedName>
    <definedName name="Not_answered" localSheetId="5">Table2[How comfortable is your centre? ]</definedName>
    <definedName name="Not_answered" localSheetId="6">Table2[How comfortable is your centre? ]</definedName>
    <definedName name="Not_answered" localSheetId="4">Table2[How comfortable is your centre? ]</definedName>
    <definedName name="Not_answered">Table2[How comfortable is your centre? ]</definedName>
    <definedName name="_xlnm.Print_Area" localSheetId="5">Graphs!$A$1:$D$668</definedName>
    <definedName name="_xlnm.Print_Area" localSheetId="6">'Graphs '!$A$1:$D$217</definedName>
    <definedName name="_xlnm.Print_Titles" localSheetId="5">Graphs!$1:$6</definedName>
    <definedName name="_xlnm.Print_Titles" localSheetId="6">'Graphs '!$1:$6</definedName>
    <definedName name="_xlnm.Print_Titles" localSheetId="4">'Overall Results'!$1:$7</definedName>
    <definedName name="_xlnm.Print_Titles" localSheetId="3">OverallResults!$1:$6</definedName>
    <definedName name="Quest1">'Validation List'!$B$6:$B$15</definedName>
    <definedName name="Quest10">'Validation List'!$K$6:$K$15</definedName>
    <definedName name="Quest11">'Validation List'!$L$6:$L$15</definedName>
    <definedName name="Quest12">'Validation List'!$M$6:$M$15</definedName>
    <definedName name="Quest13">'Validation List'!$N$6:$N$15</definedName>
    <definedName name="Quest14">'Validation List'!$O$6:$O$15</definedName>
    <definedName name="Quest15">'Validation List'!$P$6:$P$15</definedName>
    <definedName name="Quest16">'Validation List'!$Q$6:$Q$15</definedName>
    <definedName name="Quest17">'Validation List'!$R$6:$R$15</definedName>
    <definedName name="Quest18">'Validation List'!$S$6:$S$15</definedName>
    <definedName name="Quest19">'Validation List'!$T$6:$T$15</definedName>
    <definedName name="Quest2">'Validation List'!$C$6:$C$15</definedName>
    <definedName name="Quest20">'Validation List'!$U$6:$U$15</definedName>
    <definedName name="Quest21">'Validation List'!$V$6:$V$15</definedName>
    <definedName name="Quest22">'Validation List'!$W$6:$W$15</definedName>
    <definedName name="Quest23">'Validation List'!$X$6:$X$15</definedName>
    <definedName name="Quest24">'Validation List'!$Y$6:$Y$15</definedName>
    <definedName name="Quest25">'Validation List'!$Z$6:$Z$15</definedName>
    <definedName name="Quest26">'Validation List'!$AA$6:$AA$15</definedName>
    <definedName name="Quest27">'Validation List'!$AB$6:$AB$15</definedName>
    <definedName name="Quest28">'Validation List'!$AC$6:$AC$15</definedName>
    <definedName name="Quest29">'Validation List'!$AD$6:$AD$15</definedName>
    <definedName name="Quest3">'Validation List'!$D$6:$D$15</definedName>
    <definedName name="Quest30">'Validation List'!$AE$6:$AE$15</definedName>
    <definedName name="Quest31">'Validation List'!$AF$6:$AF$15</definedName>
    <definedName name="Quest32">'Validation List'!$AG$6:$AG$15</definedName>
    <definedName name="Quest33">'Validation List'!$AH$6:$AH$15</definedName>
    <definedName name="Quest34">'Validation List'!$AI$6:$AI$15</definedName>
    <definedName name="Quest35">'Validation List'!$AJ$6:$AJ$15</definedName>
    <definedName name="Quest36">'Validation List'!$AK$6:$AK$15</definedName>
    <definedName name="Quest37">'Validation List'!$AL$6:$AL$15</definedName>
    <definedName name="Quest38">'Validation List'!$AM$6:$AM$15</definedName>
    <definedName name="Quest39">'Validation List'!$AN$6:$AN$15</definedName>
    <definedName name="Quest4">'Validation List'!$E$6:$E$15</definedName>
    <definedName name="Quest40">'Validation List'!$AO$6:$AO$15</definedName>
    <definedName name="Quest41">'Validation List'!$AP$6:$AP$15</definedName>
    <definedName name="Quest42">'Validation List'!$AQ$6:$AQ$15</definedName>
    <definedName name="Quest43">'Validation List'!$AR$6:$AR$15</definedName>
    <definedName name="Quest44">'Validation List'!$AS$6:$AS$15</definedName>
    <definedName name="Quest45">'Validation List'!$AT$6:$AT$15</definedName>
    <definedName name="Quest46">'Validation List'!$AU$6:$AU$15</definedName>
    <definedName name="Quest47">'Validation List'!$AV$6:$AV$15</definedName>
    <definedName name="Quest48">'Validation List'!$AW$6:$AW$15</definedName>
    <definedName name="Quest49">'Validation List'!$AX$6:$AX$15</definedName>
    <definedName name="Quest5">'Validation List'!$F$6:$F$15</definedName>
    <definedName name="Quest50">'Validation List'!$AY$6:$AY$15</definedName>
    <definedName name="Quest51">'Validation List'!$AZ$6:$AZ$15</definedName>
    <definedName name="Quest52">'Validation List'!$BA$6:$BA$15</definedName>
    <definedName name="Quest53">'Validation List'!$BB$6:$BB$15</definedName>
    <definedName name="Quest54">'Validation List'!$BC$6:$BC$15</definedName>
    <definedName name="Quest55">'Validation List'!$BD$6:$BD$15</definedName>
    <definedName name="Quest56">'Validation List'!$BE$6:$BE$15</definedName>
    <definedName name="Quest57">'Validation List'!$BF$6:$BF$15</definedName>
    <definedName name="Quest58">'Validation List'!$BG$6:$BG$15</definedName>
    <definedName name="Quest59">'Validation List'!$BH$6:$BH$15</definedName>
    <definedName name="Quest6">'Validation List'!$G$6:$G$15</definedName>
    <definedName name="Quest60">'Validation List'!$BI$6:$BI$15</definedName>
    <definedName name="Quest61">'Validation List'!$BJ$6:$BJ$15</definedName>
    <definedName name="Quest62">'Validation List'!$BK$6:$BK$15</definedName>
    <definedName name="Quest7">'Validation List'!$H$6:$H$15</definedName>
    <definedName name="Quest8">'Validation List'!$I$6:$I$15</definedName>
    <definedName name="Quest9">'Validation List'!$J$6:$J$15</definedName>
  </definedNames>
  <calcPr calcId="125725"/>
</workbook>
</file>

<file path=xl/calcChain.xml><?xml version="1.0" encoding="utf-8"?>
<calcChain xmlns="http://schemas.openxmlformats.org/spreadsheetml/2006/main">
  <c r="B7" i="13"/>
  <c r="A7"/>
  <c r="B6"/>
  <c r="A6"/>
  <c r="B5"/>
  <c r="A5"/>
  <c r="B4"/>
  <c r="A4"/>
  <c r="B3"/>
  <c r="A3"/>
  <c r="B2"/>
  <c r="A2"/>
  <c r="A1"/>
  <c r="D107" i="11" l="1"/>
  <c r="C107"/>
  <c r="B107"/>
  <c r="D106"/>
  <c r="C106"/>
  <c r="B106"/>
  <c r="E85"/>
  <c r="E84"/>
  <c r="E83"/>
  <c r="E82"/>
  <c r="D85"/>
  <c r="D84"/>
  <c r="D83"/>
  <c r="D82"/>
  <c r="D80"/>
  <c r="E80"/>
  <c r="C85"/>
  <c r="B85"/>
  <c r="C84"/>
  <c r="B84"/>
  <c r="C80"/>
  <c r="B80"/>
  <c r="C83"/>
  <c r="B83"/>
  <c r="C82"/>
  <c r="B82"/>
  <c r="D68"/>
  <c r="C68"/>
  <c r="B68"/>
  <c r="D63"/>
  <c r="C63"/>
  <c r="B63"/>
  <c r="D62"/>
  <c r="C62"/>
  <c r="B62"/>
  <c r="D61"/>
  <c r="C61"/>
  <c r="B61"/>
  <c r="D47"/>
  <c r="C47"/>
  <c r="B47"/>
  <c r="D60"/>
  <c r="C60"/>
  <c r="B60"/>
  <c r="D55" l="1"/>
  <c r="C55"/>
  <c r="B55"/>
  <c r="D54"/>
  <c r="C54"/>
  <c r="B54"/>
  <c r="D53"/>
  <c r="C53"/>
  <c r="B53"/>
  <c r="D52"/>
  <c r="C52"/>
  <c r="B52"/>
  <c r="D51"/>
  <c r="C51"/>
  <c r="B51"/>
  <c r="D50"/>
  <c r="C50"/>
  <c r="B50"/>
  <c r="D49"/>
  <c r="C49"/>
  <c r="B49"/>
  <c r="D48"/>
  <c r="C48"/>
  <c r="B48"/>
  <c r="D42"/>
  <c r="C42"/>
  <c r="B42"/>
  <c r="D41"/>
  <c r="C41"/>
  <c r="B41"/>
  <c r="D34"/>
  <c r="C34"/>
  <c r="B34"/>
  <c r="D36"/>
  <c r="C36"/>
  <c r="B36"/>
  <c r="D35"/>
  <c r="C35"/>
  <c r="B35"/>
  <c r="D33"/>
  <c r="C33"/>
  <c r="B33"/>
  <c r="D32"/>
  <c r="C32"/>
  <c r="B32"/>
  <c r="D31"/>
  <c r="C31"/>
  <c r="B31"/>
  <c r="D30"/>
  <c r="C30"/>
  <c r="B30"/>
  <c r="D29"/>
  <c r="C29"/>
  <c r="B29"/>
  <c r="D28"/>
  <c r="C28"/>
  <c r="B28"/>
  <c r="D23"/>
  <c r="C23"/>
  <c r="B23"/>
  <c r="D22"/>
  <c r="C22"/>
  <c r="B22"/>
  <c r="D21"/>
  <c r="C21"/>
  <c r="D20"/>
  <c r="C20"/>
  <c r="B20"/>
  <c r="B21"/>
  <c r="D15"/>
  <c r="C15"/>
  <c r="B15"/>
  <c r="D12"/>
  <c r="C12"/>
  <c r="B12"/>
  <c r="D14"/>
  <c r="C14"/>
  <c r="B14"/>
  <c r="D13"/>
  <c r="C13"/>
  <c r="B13"/>
  <c r="A124"/>
  <c r="B124" s="1"/>
  <c r="C124" s="1"/>
  <c r="A123"/>
  <c r="B123" s="1"/>
  <c r="A122"/>
  <c r="B122" s="1"/>
  <c r="A120"/>
  <c r="A116"/>
  <c r="B116" s="1"/>
  <c r="C116" s="1"/>
  <c r="A115"/>
  <c r="B115" s="1"/>
  <c r="A114"/>
  <c r="B114" s="1"/>
  <c r="A113"/>
  <c r="B113" s="1"/>
  <c r="A112"/>
  <c r="B112" s="1"/>
  <c r="A110"/>
  <c r="A100"/>
  <c r="B100" s="1"/>
  <c r="C100" s="1"/>
  <c r="A99"/>
  <c r="B99" s="1"/>
  <c r="A98"/>
  <c r="B98" s="1"/>
  <c r="A97"/>
  <c r="B97" s="1"/>
  <c r="C97" s="1"/>
  <c r="A96"/>
  <c r="B96" s="1"/>
  <c r="A95"/>
  <c r="B95" s="1"/>
  <c r="A94"/>
  <c r="B94" s="1"/>
  <c r="A93"/>
  <c r="B93" s="1"/>
  <c r="A92"/>
  <c r="B92" s="1"/>
  <c r="A91"/>
  <c r="B91" s="1"/>
  <c r="A89"/>
  <c r="B7"/>
  <c r="A7"/>
  <c r="B6"/>
  <c r="A6"/>
  <c r="B5"/>
  <c r="A5"/>
  <c r="B4"/>
  <c r="A4"/>
  <c r="B3"/>
  <c r="A3"/>
  <c r="B2"/>
  <c r="A2"/>
  <c r="A1"/>
  <c r="B7" i="10"/>
  <c r="A7"/>
  <c r="B7" i="3"/>
  <c r="A7"/>
  <c r="B6" i="10"/>
  <c r="A6"/>
  <c r="B5"/>
  <c r="A5"/>
  <c r="B4"/>
  <c r="A4"/>
  <c r="B3"/>
  <c r="A3"/>
  <c r="B2"/>
  <c r="A2"/>
  <c r="A1"/>
  <c r="B6" i="8"/>
  <c r="A6"/>
  <c r="B5"/>
  <c r="A5"/>
  <c r="B4"/>
  <c r="A4"/>
  <c r="B3"/>
  <c r="A3"/>
  <c r="B2"/>
  <c r="A2"/>
  <c r="A1"/>
  <c r="C95" i="11" l="1"/>
  <c r="D95"/>
  <c r="C122"/>
  <c r="D122"/>
  <c r="C93"/>
  <c r="D93"/>
  <c r="C99"/>
  <c r="D99"/>
  <c r="C91"/>
  <c r="D91"/>
  <c r="D97"/>
  <c r="C96"/>
  <c r="D96"/>
  <c r="D113"/>
  <c r="C113"/>
  <c r="C123"/>
  <c r="D123"/>
  <c r="B125"/>
  <c r="C98"/>
  <c r="D98"/>
  <c r="D114"/>
  <c r="C114"/>
  <c r="C92"/>
  <c r="D92"/>
  <c r="D115"/>
  <c r="C115"/>
  <c r="C94"/>
  <c r="D94"/>
  <c r="B117"/>
  <c r="D112"/>
  <c r="C112"/>
  <c r="B101"/>
  <c r="B8" i="5"/>
  <c r="A23" i="3"/>
  <c r="B23" s="1"/>
  <c r="D23" s="1"/>
  <c r="A14"/>
  <c r="B14" s="1"/>
  <c r="D14" s="1"/>
  <c r="A33"/>
  <c r="B33" s="1"/>
  <c r="D33" s="1"/>
  <c r="C125" i="11" l="1"/>
  <c r="D101"/>
  <c r="D125"/>
  <c r="C101"/>
  <c r="C117"/>
  <c r="D117"/>
  <c r="C23" i="3"/>
  <c r="C14"/>
  <c r="C33"/>
  <c r="A937" i="5"/>
  <c r="B937" s="1"/>
  <c r="A936"/>
  <c r="B936" s="1"/>
  <c r="A935"/>
  <c r="B935" s="1"/>
  <c r="A934"/>
  <c r="B934" s="1"/>
  <c r="A933"/>
  <c r="B933" s="1"/>
  <c r="A932"/>
  <c r="B932" s="1"/>
  <c r="A931"/>
  <c r="B931" s="1"/>
  <c r="A930"/>
  <c r="B930" s="1"/>
  <c r="A929"/>
  <c r="B929" s="1"/>
  <c r="A928"/>
  <c r="B928" s="1"/>
  <c r="A926"/>
  <c r="A922"/>
  <c r="B922" s="1"/>
  <c r="A921"/>
  <c r="B921" s="1"/>
  <c r="A920"/>
  <c r="B920" s="1"/>
  <c r="A919"/>
  <c r="B919" s="1"/>
  <c r="A918"/>
  <c r="B918" s="1"/>
  <c r="A917"/>
  <c r="B917" s="1"/>
  <c r="A916"/>
  <c r="B916" s="1"/>
  <c r="A915"/>
  <c r="B915" s="1"/>
  <c r="A914"/>
  <c r="B914" s="1"/>
  <c r="A913"/>
  <c r="B913" s="1"/>
  <c r="A911"/>
  <c r="A907"/>
  <c r="B907" s="1"/>
  <c r="A906"/>
  <c r="B906" s="1"/>
  <c r="A905"/>
  <c r="B905" s="1"/>
  <c r="A904"/>
  <c r="B904" s="1"/>
  <c r="A903"/>
  <c r="B903" s="1"/>
  <c r="A902"/>
  <c r="B902" s="1"/>
  <c r="A901"/>
  <c r="B901" s="1"/>
  <c r="A900"/>
  <c r="B900" s="1"/>
  <c r="A899"/>
  <c r="B899" s="1"/>
  <c r="A898"/>
  <c r="B898" s="1"/>
  <c r="A896"/>
  <c r="A892"/>
  <c r="B892" s="1"/>
  <c r="A891"/>
  <c r="B891" s="1"/>
  <c r="A890"/>
  <c r="B890" s="1"/>
  <c r="D890" s="1"/>
  <c r="A889"/>
  <c r="B889" s="1"/>
  <c r="A888"/>
  <c r="B888" s="1"/>
  <c r="A887"/>
  <c r="B887" s="1"/>
  <c r="A886"/>
  <c r="B886" s="1"/>
  <c r="D886" s="1"/>
  <c r="A885"/>
  <c r="B885" s="1"/>
  <c r="A884"/>
  <c r="B884" s="1"/>
  <c r="A883"/>
  <c r="B883" s="1"/>
  <c r="A881"/>
  <c r="A877"/>
  <c r="B877" s="1"/>
  <c r="A876"/>
  <c r="B876" s="1"/>
  <c r="A875"/>
  <c r="B875" s="1"/>
  <c r="A874"/>
  <c r="B874" s="1"/>
  <c r="D874" s="1"/>
  <c r="A873"/>
  <c r="B873" s="1"/>
  <c r="A872"/>
  <c r="B872" s="1"/>
  <c r="A871"/>
  <c r="B871" s="1"/>
  <c r="A870"/>
  <c r="B870" s="1"/>
  <c r="D870" s="1"/>
  <c r="A869"/>
  <c r="B869" s="1"/>
  <c r="A868"/>
  <c r="B868" s="1"/>
  <c r="A866"/>
  <c r="A862"/>
  <c r="B862" s="1"/>
  <c r="A861"/>
  <c r="B861" s="1"/>
  <c r="A860"/>
  <c r="B860" s="1"/>
  <c r="A859"/>
  <c r="B859" s="1"/>
  <c r="A858"/>
  <c r="B858" s="1"/>
  <c r="D858" s="1"/>
  <c r="A857"/>
  <c r="B857" s="1"/>
  <c r="A856"/>
  <c r="B856" s="1"/>
  <c r="A855"/>
  <c r="B855" s="1"/>
  <c r="A854"/>
  <c r="B854" s="1"/>
  <c r="D854" s="1"/>
  <c r="A853"/>
  <c r="B853" s="1"/>
  <c r="A851"/>
  <c r="A847"/>
  <c r="B847" s="1"/>
  <c r="A846"/>
  <c r="B846" s="1"/>
  <c r="D846" s="1"/>
  <c r="A845"/>
  <c r="B845" s="1"/>
  <c r="A844"/>
  <c r="B844" s="1"/>
  <c r="A843"/>
  <c r="B843" s="1"/>
  <c r="A842"/>
  <c r="B842" s="1"/>
  <c r="D842" s="1"/>
  <c r="A841"/>
  <c r="B841" s="1"/>
  <c r="A840"/>
  <c r="B840" s="1"/>
  <c r="A839"/>
  <c r="B839" s="1"/>
  <c r="A838"/>
  <c r="B838" s="1"/>
  <c r="D838" s="1"/>
  <c r="A836"/>
  <c r="A832"/>
  <c r="B832" s="1"/>
  <c r="A831"/>
  <c r="B831" s="1"/>
  <c r="A830"/>
  <c r="B830" s="1"/>
  <c r="D830" s="1"/>
  <c r="A829"/>
  <c r="B829" s="1"/>
  <c r="A828"/>
  <c r="B828" s="1"/>
  <c r="A827"/>
  <c r="B827" s="1"/>
  <c r="A826"/>
  <c r="B826" s="1"/>
  <c r="D826" s="1"/>
  <c r="A825"/>
  <c r="B825" s="1"/>
  <c r="A824"/>
  <c r="B824" s="1"/>
  <c r="A823"/>
  <c r="B823" s="1"/>
  <c r="A821"/>
  <c r="A817"/>
  <c r="B817" s="1"/>
  <c r="A816"/>
  <c r="B816" s="1"/>
  <c r="A815"/>
  <c r="B815" s="1"/>
  <c r="A814"/>
  <c r="B814" s="1"/>
  <c r="D814" s="1"/>
  <c r="A813"/>
  <c r="B813" s="1"/>
  <c r="A812"/>
  <c r="B812" s="1"/>
  <c r="A811"/>
  <c r="B811" s="1"/>
  <c r="A810"/>
  <c r="B810" s="1"/>
  <c r="D810" s="1"/>
  <c r="A809"/>
  <c r="B809" s="1"/>
  <c r="A808"/>
  <c r="B808" s="1"/>
  <c r="A806"/>
  <c r="A802"/>
  <c r="B802" s="1"/>
  <c r="A801"/>
  <c r="B801" s="1"/>
  <c r="A800"/>
  <c r="B800" s="1"/>
  <c r="A799"/>
  <c r="B799" s="1"/>
  <c r="A798"/>
  <c r="B798" s="1"/>
  <c r="D798" s="1"/>
  <c r="A797"/>
  <c r="B797" s="1"/>
  <c r="A796"/>
  <c r="B796" s="1"/>
  <c r="A795"/>
  <c r="B795" s="1"/>
  <c r="A794"/>
  <c r="B794" s="1"/>
  <c r="D794" s="1"/>
  <c r="A793"/>
  <c r="B793" s="1"/>
  <c r="A791"/>
  <c r="A787"/>
  <c r="B787" s="1"/>
  <c r="A786"/>
  <c r="B786" s="1"/>
  <c r="D786" s="1"/>
  <c r="A785"/>
  <c r="B785" s="1"/>
  <c r="A784"/>
  <c r="B784" s="1"/>
  <c r="A783"/>
  <c r="B783" s="1"/>
  <c r="A782"/>
  <c r="B782" s="1"/>
  <c r="D782" s="1"/>
  <c r="A781"/>
  <c r="B781" s="1"/>
  <c r="A780"/>
  <c r="B780" s="1"/>
  <c r="A779"/>
  <c r="B779" s="1"/>
  <c r="A778"/>
  <c r="B778" s="1"/>
  <c r="D778" s="1"/>
  <c r="A776"/>
  <c r="A772"/>
  <c r="B772" s="1"/>
  <c r="A771"/>
  <c r="B771" s="1"/>
  <c r="A770"/>
  <c r="B770" s="1"/>
  <c r="D770" s="1"/>
  <c r="A769"/>
  <c r="B769" s="1"/>
  <c r="A768"/>
  <c r="B768" s="1"/>
  <c r="A767"/>
  <c r="B767" s="1"/>
  <c r="A766"/>
  <c r="B766" s="1"/>
  <c r="D766" s="1"/>
  <c r="A765"/>
  <c r="B765" s="1"/>
  <c r="A764"/>
  <c r="B764" s="1"/>
  <c r="A763"/>
  <c r="B763" s="1"/>
  <c r="A761"/>
  <c r="A757"/>
  <c r="B757" s="1"/>
  <c r="A756"/>
  <c r="B756" s="1"/>
  <c r="A755"/>
  <c r="B755" s="1"/>
  <c r="A754"/>
  <c r="B754" s="1"/>
  <c r="D754" s="1"/>
  <c r="A753"/>
  <c r="B753" s="1"/>
  <c r="A752"/>
  <c r="B752" s="1"/>
  <c r="A751"/>
  <c r="B751" s="1"/>
  <c r="A750"/>
  <c r="B750" s="1"/>
  <c r="D750" s="1"/>
  <c r="A749"/>
  <c r="B749" s="1"/>
  <c r="A748"/>
  <c r="B748" s="1"/>
  <c r="A746"/>
  <c r="A742"/>
  <c r="B742" s="1"/>
  <c r="A741"/>
  <c r="B741" s="1"/>
  <c r="A740"/>
  <c r="B740" s="1"/>
  <c r="A739"/>
  <c r="B739" s="1"/>
  <c r="A738"/>
  <c r="B738" s="1"/>
  <c r="D738" s="1"/>
  <c r="A737"/>
  <c r="B737" s="1"/>
  <c r="A736"/>
  <c r="B736" s="1"/>
  <c r="A735"/>
  <c r="B735" s="1"/>
  <c r="A734"/>
  <c r="B734" s="1"/>
  <c r="D734" s="1"/>
  <c r="A733"/>
  <c r="B733" s="1"/>
  <c r="A731"/>
  <c r="A727"/>
  <c r="B727" s="1"/>
  <c r="A726"/>
  <c r="B726" s="1"/>
  <c r="D726" s="1"/>
  <c r="A725"/>
  <c r="B725" s="1"/>
  <c r="A724"/>
  <c r="B724" s="1"/>
  <c r="A723"/>
  <c r="B723" s="1"/>
  <c r="A722"/>
  <c r="B722" s="1"/>
  <c r="D722" s="1"/>
  <c r="A721"/>
  <c r="B721" s="1"/>
  <c r="A720"/>
  <c r="B720" s="1"/>
  <c r="A719"/>
  <c r="B719" s="1"/>
  <c r="A718"/>
  <c r="B718" s="1"/>
  <c r="D718" s="1"/>
  <c r="A716"/>
  <c r="A712"/>
  <c r="B712" s="1"/>
  <c r="A711"/>
  <c r="B711" s="1"/>
  <c r="A710"/>
  <c r="B710" s="1"/>
  <c r="D710" s="1"/>
  <c r="A709"/>
  <c r="B709" s="1"/>
  <c r="A708"/>
  <c r="B708" s="1"/>
  <c r="A707"/>
  <c r="B707" s="1"/>
  <c r="A706"/>
  <c r="B706" s="1"/>
  <c r="D706" s="1"/>
  <c r="A705"/>
  <c r="B705" s="1"/>
  <c r="A704"/>
  <c r="B704" s="1"/>
  <c r="A703"/>
  <c r="B703" s="1"/>
  <c r="A701"/>
  <c r="A697"/>
  <c r="B697" s="1"/>
  <c r="A696"/>
  <c r="B696" s="1"/>
  <c r="A695"/>
  <c r="B695" s="1"/>
  <c r="A694"/>
  <c r="B694" s="1"/>
  <c r="D694" s="1"/>
  <c r="A693"/>
  <c r="B693" s="1"/>
  <c r="A692"/>
  <c r="B692" s="1"/>
  <c r="A691"/>
  <c r="B691" s="1"/>
  <c r="A690"/>
  <c r="B690" s="1"/>
  <c r="D690" s="1"/>
  <c r="A689"/>
  <c r="B689" s="1"/>
  <c r="A688"/>
  <c r="B688" s="1"/>
  <c r="A686"/>
  <c r="A682"/>
  <c r="B682" s="1"/>
  <c r="A681"/>
  <c r="B681" s="1"/>
  <c r="A680"/>
  <c r="B680" s="1"/>
  <c r="A679"/>
  <c r="B679" s="1"/>
  <c r="A678"/>
  <c r="B678" s="1"/>
  <c r="D678" s="1"/>
  <c r="A677"/>
  <c r="B677" s="1"/>
  <c r="A676"/>
  <c r="B676" s="1"/>
  <c r="A675"/>
  <c r="B675" s="1"/>
  <c r="A674"/>
  <c r="B674" s="1"/>
  <c r="D674" s="1"/>
  <c r="A673"/>
  <c r="B673" s="1"/>
  <c r="A671"/>
  <c r="A667"/>
  <c r="B667" s="1"/>
  <c r="A666"/>
  <c r="B666" s="1"/>
  <c r="D666" s="1"/>
  <c r="A665"/>
  <c r="B665" s="1"/>
  <c r="A664"/>
  <c r="B664" s="1"/>
  <c r="A663"/>
  <c r="B663" s="1"/>
  <c r="A662"/>
  <c r="B662" s="1"/>
  <c r="D662" s="1"/>
  <c r="A661"/>
  <c r="B661" s="1"/>
  <c r="A660"/>
  <c r="B660" s="1"/>
  <c r="A659"/>
  <c r="B659" s="1"/>
  <c r="A658"/>
  <c r="B658" s="1"/>
  <c r="D658" s="1"/>
  <c r="A656"/>
  <c r="A652"/>
  <c r="B652" s="1"/>
  <c r="A651"/>
  <c r="B651" s="1"/>
  <c r="A650"/>
  <c r="B650" s="1"/>
  <c r="D650" s="1"/>
  <c r="A649"/>
  <c r="B649" s="1"/>
  <c r="A648"/>
  <c r="B648" s="1"/>
  <c r="A647"/>
  <c r="B647" s="1"/>
  <c r="A646"/>
  <c r="B646" s="1"/>
  <c r="D646" s="1"/>
  <c r="A645"/>
  <c r="B645" s="1"/>
  <c r="A644"/>
  <c r="B644" s="1"/>
  <c r="A643"/>
  <c r="B643" s="1"/>
  <c r="A641"/>
  <c r="A637"/>
  <c r="B637" s="1"/>
  <c r="A636"/>
  <c r="B636" s="1"/>
  <c r="A635"/>
  <c r="B635" s="1"/>
  <c r="A634"/>
  <c r="B634" s="1"/>
  <c r="D634" s="1"/>
  <c r="A633"/>
  <c r="B633" s="1"/>
  <c r="A632"/>
  <c r="B632" s="1"/>
  <c r="A631"/>
  <c r="B631" s="1"/>
  <c r="A630"/>
  <c r="B630" s="1"/>
  <c r="D630" s="1"/>
  <c r="A629"/>
  <c r="B629" s="1"/>
  <c r="A628"/>
  <c r="B628" s="1"/>
  <c r="A626"/>
  <c r="A622"/>
  <c r="B622" s="1"/>
  <c r="A621"/>
  <c r="B621" s="1"/>
  <c r="A620"/>
  <c r="B620" s="1"/>
  <c r="A619"/>
  <c r="B619" s="1"/>
  <c r="A618"/>
  <c r="B618" s="1"/>
  <c r="D618" s="1"/>
  <c r="A617"/>
  <c r="B617" s="1"/>
  <c r="A616"/>
  <c r="B616" s="1"/>
  <c r="A615"/>
  <c r="B615" s="1"/>
  <c r="A614"/>
  <c r="B614" s="1"/>
  <c r="D614" s="1"/>
  <c r="A613"/>
  <c r="B613" s="1"/>
  <c r="A611"/>
  <c r="A607"/>
  <c r="B607" s="1"/>
  <c r="A606"/>
  <c r="B606" s="1"/>
  <c r="D606" s="1"/>
  <c r="A605"/>
  <c r="B605" s="1"/>
  <c r="A604"/>
  <c r="B604" s="1"/>
  <c r="A603"/>
  <c r="B603" s="1"/>
  <c r="A602"/>
  <c r="B602" s="1"/>
  <c r="D602" s="1"/>
  <c r="A601"/>
  <c r="B601" s="1"/>
  <c r="A600"/>
  <c r="B600" s="1"/>
  <c r="A599"/>
  <c r="B599" s="1"/>
  <c r="A598"/>
  <c r="B598" s="1"/>
  <c r="D598" s="1"/>
  <c r="A596"/>
  <c r="A592"/>
  <c r="B592" s="1"/>
  <c r="A591"/>
  <c r="B591" s="1"/>
  <c r="A590"/>
  <c r="B590" s="1"/>
  <c r="D590" s="1"/>
  <c r="A589"/>
  <c r="B589" s="1"/>
  <c r="A588"/>
  <c r="B588" s="1"/>
  <c r="A587"/>
  <c r="B587" s="1"/>
  <c r="A586"/>
  <c r="B586" s="1"/>
  <c r="D586" s="1"/>
  <c r="A585"/>
  <c r="B585" s="1"/>
  <c r="A584"/>
  <c r="B584" s="1"/>
  <c r="A583"/>
  <c r="B583" s="1"/>
  <c r="A581"/>
  <c r="A577"/>
  <c r="B577" s="1"/>
  <c r="A576"/>
  <c r="B576" s="1"/>
  <c r="A575"/>
  <c r="B575" s="1"/>
  <c r="A574"/>
  <c r="B574" s="1"/>
  <c r="D574" s="1"/>
  <c r="A573"/>
  <c r="B573" s="1"/>
  <c r="A572"/>
  <c r="B572" s="1"/>
  <c r="A571"/>
  <c r="B571" s="1"/>
  <c r="A570"/>
  <c r="B570" s="1"/>
  <c r="D570" s="1"/>
  <c r="A569"/>
  <c r="B569" s="1"/>
  <c r="A568"/>
  <c r="B568" s="1"/>
  <c r="A566"/>
  <c r="A562"/>
  <c r="B562" s="1"/>
  <c r="A561"/>
  <c r="B561" s="1"/>
  <c r="A560"/>
  <c r="B560" s="1"/>
  <c r="A559"/>
  <c r="B559" s="1"/>
  <c r="A558"/>
  <c r="B558" s="1"/>
  <c r="D558" s="1"/>
  <c r="A557"/>
  <c r="B557" s="1"/>
  <c r="A556"/>
  <c r="B556" s="1"/>
  <c r="A555"/>
  <c r="B555" s="1"/>
  <c r="A554"/>
  <c r="B554" s="1"/>
  <c r="D554" s="1"/>
  <c r="A553"/>
  <c r="B553" s="1"/>
  <c r="A551"/>
  <c r="A547"/>
  <c r="B547" s="1"/>
  <c r="A546"/>
  <c r="B546" s="1"/>
  <c r="D546" s="1"/>
  <c r="A545"/>
  <c r="B545" s="1"/>
  <c r="A544"/>
  <c r="B544" s="1"/>
  <c r="A543"/>
  <c r="B543" s="1"/>
  <c r="A542"/>
  <c r="B542" s="1"/>
  <c r="D542" s="1"/>
  <c r="A541"/>
  <c r="B541" s="1"/>
  <c r="A540"/>
  <c r="B540" s="1"/>
  <c r="A539"/>
  <c r="B539" s="1"/>
  <c r="A538"/>
  <c r="B538" s="1"/>
  <c r="D538" s="1"/>
  <c r="A536"/>
  <c r="A532"/>
  <c r="B532" s="1"/>
  <c r="A531"/>
  <c r="B531" s="1"/>
  <c r="A530"/>
  <c r="B530" s="1"/>
  <c r="D530" s="1"/>
  <c r="A529"/>
  <c r="B529" s="1"/>
  <c r="A528"/>
  <c r="B528" s="1"/>
  <c r="A527"/>
  <c r="B527" s="1"/>
  <c r="A526"/>
  <c r="B526" s="1"/>
  <c r="D526" s="1"/>
  <c r="A525"/>
  <c r="B525" s="1"/>
  <c r="A524"/>
  <c r="B524" s="1"/>
  <c r="A523"/>
  <c r="B523" s="1"/>
  <c r="A521"/>
  <c r="A517"/>
  <c r="B517" s="1"/>
  <c r="A516"/>
  <c r="B516" s="1"/>
  <c r="A515"/>
  <c r="B515" s="1"/>
  <c r="A514"/>
  <c r="B514" s="1"/>
  <c r="D514" s="1"/>
  <c r="A513"/>
  <c r="B513" s="1"/>
  <c r="A512"/>
  <c r="B512" s="1"/>
  <c r="A511"/>
  <c r="B511" s="1"/>
  <c r="A510"/>
  <c r="B510" s="1"/>
  <c r="D510" s="1"/>
  <c r="A509"/>
  <c r="B509" s="1"/>
  <c r="A508"/>
  <c r="B508" s="1"/>
  <c r="A506"/>
  <c r="A502"/>
  <c r="B502" s="1"/>
  <c r="A501"/>
  <c r="B501" s="1"/>
  <c r="A500"/>
  <c r="B500" s="1"/>
  <c r="A499"/>
  <c r="B499" s="1"/>
  <c r="A498"/>
  <c r="B498" s="1"/>
  <c r="D498" s="1"/>
  <c r="A497"/>
  <c r="B497" s="1"/>
  <c r="A496"/>
  <c r="B496" s="1"/>
  <c r="A495"/>
  <c r="B495" s="1"/>
  <c r="A494"/>
  <c r="B494" s="1"/>
  <c r="D494" s="1"/>
  <c r="A493"/>
  <c r="B493" s="1"/>
  <c r="A491"/>
  <c r="A487"/>
  <c r="B487" s="1"/>
  <c r="A486"/>
  <c r="B486" s="1"/>
  <c r="D486" s="1"/>
  <c r="A485"/>
  <c r="B485" s="1"/>
  <c r="A484"/>
  <c r="B484" s="1"/>
  <c r="A483"/>
  <c r="B483" s="1"/>
  <c r="A482"/>
  <c r="B482" s="1"/>
  <c r="D482" s="1"/>
  <c r="A481"/>
  <c r="B481" s="1"/>
  <c r="A480"/>
  <c r="B480" s="1"/>
  <c r="A479"/>
  <c r="B479" s="1"/>
  <c r="A478"/>
  <c r="B478" s="1"/>
  <c r="D478" s="1"/>
  <c r="A476"/>
  <c r="A472"/>
  <c r="B472" s="1"/>
  <c r="A471"/>
  <c r="B471" s="1"/>
  <c r="A470"/>
  <c r="B470" s="1"/>
  <c r="D470" s="1"/>
  <c r="A469"/>
  <c r="B469" s="1"/>
  <c r="A468"/>
  <c r="B468" s="1"/>
  <c r="A467"/>
  <c r="B467" s="1"/>
  <c r="A466"/>
  <c r="B466" s="1"/>
  <c r="D466" s="1"/>
  <c r="A465"/>
  <c r="B465" s="1"/>
  <c r="A464"/>
  <c r="B464" s="1"/>
  <c r="A463"/>
  <c r="B463" s="1"/>
  <c r="A461"/>
  <c r="A457"/>
  <c r="B457" s="1"/>
  <c r="A456"/>
  <c r="B456" s="1"/>
  <c r="A455"/>
  <c r="B455" s="1"/>
  <c r="A454"/>
  <c r="B454" s="1"/>
  <c r="D454" s="1"/>
  <c r="A453"/>
  <c r="B453" s="1"/>
  <c r="A452"/>
  <c r="B452" s="1"/>
  <c r="A451"/>
  <c r="B451" s="1"/>
  <c r="A450"/>
  <c r="B450" s="1"/>
  <c r="D450" s="1"/>
  <c r="A449"/>
  <c r="B449" s="1"/>
  <c r="A448"/>
  <c r="B448" s="1"/>
  <c r="A446"/>
  <c r="A442"/>
  <c r="B442" s="1"/>
  <c r="A441"/>
  <c r="B441" s="1"/>
  <c r="A440"/>
  <c r="B440" s="1"/>
  <c r="A439"/>
  <c r="B439" s="1"/>
  <c r="A438"/>
  <c r="B438" s="1"/>
  <c r="D438" s="1"/>
  <c r="A437"/>
  <c r="B437" s="1"/>
  <c r="A436"/>
  <c r="B436" s="1"/>
  <c r="A435"/>
  <c r="B435" s="1"/>
  <c r="A434"/>
  <c r="B434" s="1"/>
  <c r="D434" s="1"/>
  <c r="A433"/>
  <c r="B433" s="1"/>
  <c r="A431"/>
  <c r="A427"/>
  <c r="B427" s="1"/>
  <c r="A426"/>
  <c r="B426" s="1"/>
  <c r="D426" s="1"/>
  <c r="A425"/>
  <c r="B425" s="1"/>
  <c r="A424"/>
  <c r="B424" s="1"/>
  <c r="A423"/>
  <c r="B423" s="1"/>
  <c r="A422"/>
  <c r="B422" s="1"/>
  <c r="D422" s="1"/>
  <c r="A421"/>
  <c r="B421" s="1"/>
  <c r="A420"/>
  <c r="B420" s="1"/>
  <c r="A419"/>
  <c r="B419" s="1"/>
  <c r="A418"/>
  <c r="B418" s="1"/>
  <c r="D418" s="1"/>
  <c r="A416"/>
  <c r="A412"/>
  <c r="B412" s="1"/>
  <c r="A411"/>
  <c r="B411" s="1"/>
  <c r="A410"/>
  <c r="B410" s="1"/>
  <c r="D410" s="1"/>
  <c r="A409"/>
  <c r="B409" s="1"/>
  <c r="A408"/>
  <c r="B408" s="1"/>
  <c r="A407"/>
  <c r="B407" s="1"/>
  <c r="A406"/>
  <c r="B406" s="1"/>
  <c r="D406" s="1"/>
  <c r="A405"/>
  <c r="B405" s="1"/>
  <c r="A404"/>
  <c r="B404" s="1"/>
  <c r="A403"/>
  <c r="B403" s="1"/>
  <c r="A401"/>
  <c r="A397"/>
  <c r="B397" s="1"/>
  <c r="A396"/>
  <c r="B396" s="1"/>
  <c r="A395"/>
  <c r="B395" s="1"/>
  <c r="A394"/>
  <c r="B394" s="1"/>
  <c r="D394" s="1"/>
  <c r="A393"/>
  <c r="B393" s="1"/>
  <c r="A392"/>
  <c r="B392" s="1"/>
  <c r="A391"/>
  <c r="B391" s="1"/>
  <c r="A390"/>
  <c r="B390" s="1"/>
  <c r="D390" s="1"/>
  <c r="A389"/>
  <c r="B389" s="1"/>
  <c r="A388"/>
  <c r="B388" s="1"/>
  <c r="A386"/>
  <c r="A382"/>
  <c r="B382" s="1"/>
  <c r="A381"/>
  <c r="B381" s="1"/>
  <c r="A380"/>
  <c r="B380" s="1"/>
  <c r="A379"/>
  <c r="B379" s="1"/>
  <c r="A378"/>
  <c r="B378" s="1"/>
  <c r="D378" s="1"/>
  <c r="A377"/>
  <c r="B377" s="1"/>
  <c r="A376"/>
  <c r="B376" s="1"/>
  <c r="A375"/>
  <c r="B375" s="1"/>
  <c r="A374"/>
  <c r="B374" s="1"/>
  <c r="D374" s="1"/>
  <c r="A373"/>
  <c r="B373" s="1"/>
  <c r="A371"/>
  <c r="A367"/>
  <c r="B367" s="1"/>
  <c r="A366"/>
  <c r="B366" s="1"/>
  <c r="D366" s="1"/>
  <c r="A365"/>
  <c r="B365" s="1"/>
  <c r="A364"/>
  <c r="B364" s="1"/>
  <c r="A363"/>
  <c r="B363" s="1"/>
  <c r="A362"/>
  <c r="B362" s="1"/>
  <c r="D362" s="1"/>
  <c r="A361"/>
  <c r="B361" s="1"/>
  <c r="A360"/>
  <c r="B360" s="1"/>
  <c r="A359"/>
  <c r="B359" s="1"/>
  <c r="A358"/>
  <c r="B358" s="1"/>
  <c r="D358" s="1"/>
  <c r="A356"/>
  <c r="A352"/>
  <c r="B352" s="1"/>
  <c r="A351"/>
  <c r="B351" s="1"/>
  <c r="A350"/>
  <c r="B350" s="1"/>
  <c r="D350" s="1"/>
  <c r="A349"/>
  <c r="B349" s="1"/>
  <c r="A348"/>
  <c r="B348" s="1"/>
  <c r="A347"/>
  <c r="B347" s="1"/>
  <c r="A346"/>
  <c r="B346" s="1"/>
  <c r="D346" s="1"/>
  <c r="A345"/>
  <c r="B345" s="1"/>
  <c r="A344"/>
  <c r="B344" s="1"/>
  <c r="A343"/>
  <c r="B343" s="1"/>
  <c r="A341"/>
  <c r="A337"/>
  <c r="B337" s="1"/>
  <c r="A336"/>
  <c r="B336" s="1"/>
  <c r="A335"/>
  <c r="B335" s="1"/>
  <c r="A334"/>
  <c r="B334" s="1"/>
  <c r="D334" s="1"/>
  <c r="A333"/>
  <c r="B333" s="1"/>
  <c r="A332"/>
  <c r="B332" s="1"/>
  <c r="A331"/>
  <c r="B331" s="1"/>
  <c r="A330"/>
  <c r="B330" s="1"/>
  <c r="D330" s="1"/>
  <c r="A329"/>
  <c r="B329" s="1"/>
  <c r="A328"/>
  <c r="B328" s="1"/>
  <c r="A326"/>
  <c r="A322"/>
  <c r="B322" s="1"/>
  <c r="A321"/>
  <c r="B321" s="1"/>
  <c r="A320"/>
  <c r="B320" s="1"/>
  <c r="A319"/>
  <c r="B319" s="1"/>
  <c r="A318"/>
  <c r="B318" s="1"/>
  <c r="D318" s="1"/>
  <c r="A317"/>
  <c r="B317" s="1"/>
  <c r="A316"/>
  <c r="B316" s="1"/>
  <c r="A315"/>
  <c r="B315" s="1"/>
  <c r="A314"/>
  <c r="B314" s="1"/>
  <c r="D314" s="1"/>
  <c r="A313"/>
  <c r="B313" s="1"/>
  <c r="A311"/>
  <c r="A307"/>
  <c r="B307" s="1"/>
  <c r="A306"/>
  <c r="B306" s="1"/>
  <c r="D306" s="1"/>
  <c r="A305"/>
  <c r="B305" s="1"/>
  <c r="A304"/>
  <c r="B304" s="1"/>
  <c r="A303"/>
  <c r="B303" s="1"/>
  <c r="A302"/>
  <c r="B302" s="1"/>
  <c r="D302" s="1"/>
  <c r="A301"/>
  <c r="B301" s="1"/>
  <c r="A300"/>
  <c r="B300" s="1"/>
  <c r="A299"/>
  <c r="B299" s="1"/>
  <c r="A298"/>
  <c r="B298" s="1"/>
  <c r="D298" s="1"/>
  <c r="A296"/>
  <c r="A292"/>
  <c r="B292" s="1"/>
  <c r="A291"/>
  <c r="B291" s="1"/>
  <c r="A290"/>
  <c r="B290" s="1"/>
  <c r="D290" s="1"/>
  <c r="A289"/>
  <c r="B289" s="1"/>
  <c r="A288"/>
  <c r="B288" s="1"/>
  <c r="A287"/>
  <c r="B287" s="1"/>
  <c r="A286"/>
  <c r="B286" s="1"/>
  <c r="D286" s="1"/>
  <c r="A285"/>
  <c r="B285" s="1"/>
  <c r="A284"/>
  <c r="B284" s="1"/>
  <c r="A283"/>
  <c r="B283" s="1"/>
  <c r="A281"/>
  <c r="A277"/>
  <c r="B277" s="1"/>
  <c r="A276"/>
  <c r="B276" s="1"/>
  <c r="A275"/>
  <c r="B275" s="1"/>
  <c r="A274"/>
  <c r="B274" s="1"/>
  <c r="D274" s="1"/>
  <c r="A273"/>
  <c r="B273" s="1"/>
  <c r="A272"/>
  <c r="B272" s="1"/>
  <c r="A271"/>
  <c r="B271" s="1"/>
  <c r="A270"/>
  <c r="B270" s="1"/>
  <c r="D270" s="1"/>
  <c r="A269"/>
  <c r="B269" s="1"/>
  <c r="A268"/>
  <c r="B268" s="1"/>
  <c r="A266"/>
  <c r="A262"/>
  <c r="B262" s="1"/>
  <c r="A261"/>
  <c r="B261" s="1"/>
  <c r="A260"/>
  <c r="B260" s="1"/>
  <c r="A259"/>
  <c r="B259" s="1"/>
  <c r="A258"/>
  <c r="B258" s="1"/>
  <c r="D258" s="1"/>
  <c r="A257"/>
  <c r="B257" s="1"/>
  <c r="A256"/>
  <c r="B256" s="1"/>
  <c r="A255"/>
  <c r="B255" s="1"/>
  <c r="A254"/>
  <c r="B254" s="1"/>
  <c r="D254" s="1"/>
  <c r="A253"/>
  <c r="B253" s="1"/>
  <c r="A251"/>
  <c r="A247"/>
  <c r="B247" s="1"/>
  <c r="A246"/>
  <c r="B246" s="1"/>
  <c r="D246" s="1"/>
  <c r="A245"/>
  <c r="B245" s="1"/>
  <c r="A244"/>
  <c r="B244" s="1"/>
  <c r="A243"/>
  <c r="B243" s="1"/>
  <c r="A242"/>
  <c r="B242" s="1"/>
  <c r="D242" s="1"/>
  <c r="A241"/>
  <c r="B241" s="1"/>
  <c r="A240"/>
  <c r="B240" s="1"/>
  <c r="A239"/>
  <c r="B239" s="1"/>
  <c r="A238"/>
  <c r="B238" s="1"/>
  <c r="D238" s="1"/>
  <c r="A236"/>
  <c r="A232"/>
  <c r="B232" s="1"/>
  <c r="A231"/>
  <c r="B231" s="1"/>
  <c r="A230"/>
  <c r="B230" s="1"/>
  <c r="D230" s="1"/>
  <c r="A229"/>
  <c r="B229" s="1"/>
  <c r="A228"/>
  <c r="B228" s="1"/>
  <c r="A227"/>
  <c r="B227" s="1"/>
  <c r="A226"/>
  <c r="B226" s="1"/>
  <c r="D226" s="1"/>
  <c r="A225"/>
  <c r="B225" s="1"/>
  <c r="A224"/>
  <c r="B224" s="1"/>
  <c r="A223"/>
  <c r="B223" s="1"/>
  <c r="A221"/>
  <c r="A217"/>
  <c r="B217" s="1"/>
  <c r="A216"/>
  <c r="B216" s="1"/>
  <c r="A215"/>
  <c r="B215" s="1"/>
  <c r="A214"/>
  <c r="B214" s="1"/>
  <c r="D214" s="1"/>
  <c r="A213"/>
  <c r="B213" s="1"/>
  <c r="A212"/>
  <c r="B212" s="1"/>
  <c r="A211"/>
  <c r="B211" s="1"/>
  <c r="A210"/>
  <c r="B210" s="1"/>
  <c r="A209"/>
  <c r="B209" s="1"/>
  <c r="A208"/>
  <c r="B208" s="1"/>
  <c r="A206"/>
  <c r="A202"/>
  <c r="B202" s="1"/>
  <c r="A201"/>
  <c r="B201" s="1"/>
  <c r="A200"/>
  <c r="B200" s="1"/>
  <c r="A199"/>
  <c r="B199" s="1"/>
  <c r="A198"/>
  <c r="B198" s="1"/>
  <c r="D198" s="1"/>
  <c r="A197"/>
  <c r="B197" s="1"/>
  <c r="A196"/>
  <c r="B196" s="1"/>
  <c r="A195"/>
  <c r="B195" s="1"/>
  <c r="A194"/>
  <c r="B194" s="1"/>
  <c r="D194" s="1"/>
  <c r="A193"/>
  <c r="B193" s="1"/>
  <c r="A191"/>
  <c r="A187"/>
  <c r="B187" s="1"/>
  <c r="A186"/>
  <c r="B186" s="1"/>
  <c r="D186" s="1"/>
  <c r="A185"/>
  <c r="B185" s="1"/>
  <c r="A184"/>
  <c r="B184" s="1"/>
  <c r="A183"/>
  <c r="B183" s="1"/>
  <c r="A182"/>
  <c r="B182" s="1"/>
  <c r="D182" s="1"/>
  <c r="A181"/>
  <c r="B181" s="1"/>
  <c r="A180"/>
  <c r="B180" s="1"/>
  <c r="A179"/>
  <c r="B179" s="1"/>
  <c r="A178"/>
  <c r="B178" s="1"/>
  <c r="D178" s="1"/>
  <c r="A176"/>
  <c r="A172"/>
  <c r="B172" s="1"/>
  <c r="A171"/>
  <c r="B171" s="1"/>
  <c r="A170"/>
  <c r="B170" s="1"/>
  <c r="D170" s="1"/>
  <c r="A169"/>
  <c r="B169" s="1"/>
  <c r="A168"/>
  <c r="B168" s="1"/>
  <c r="A167"/>
  <c r="B167" s="1"/>
  <c r="A166"/>
  <c r="B166" s="1"/>
  <c r="D166" s="1"/>
  <c r="A165"/>
  <c r="B165" s="1"/>
  <c r="A164"/>
  <c r="B164" s="1"/>
  <c r="A163"/>
  <c r="B163" s="1"/>
  <c r="A161"/>
  <c r="A157"/>
  <c r="B157" s="1"/>
  <c r="A156"/>
  <c r="B156" s="1"/>
  <c r="A155"/>
  <c r="B155" s="1"/>
  <c r="A154"/>
  <c r="B154" s="1"/>
  <c r="D154" s="1"/>
  <c r="A153"/>
  <c r="B153" s="1"/>
  <c r="A152"/>
  <c r="B152" s="1"/>
  <c r="A151"/>
  <c r="B151" s="1"/>
  <c r="A150"/>
  <c r="B150" s="1"/>
  <c r="D150" s="1"/>
  <c r="A149"/>
  <c r="B149" s="1"/>
  <c r="A148"/>
  <c r="B148" s="1"/>
  <c r="A146"/>
  <c r="A142"/>
  <c r="B142" s="1"/>
  <c r="A141"/>
  <c r="B141" s="1"/>
  <c r="A140"/>
  <c r="B140" s="1"/>
  <c r="A139"/>
  <c r="B139" s="1"/>
  <c r="A138"/>
  <c r="B138" s="1"/>
  <c r="D138" s="1"/>
  <c r="A137"/>
  <c r="B137" s="1"/>
  <c r="A136"/>
  <c r="B136" s="1"/>
  <c r="A135"/>
  <c r="B135" s="1"/>
  <c r="A134"/>
  <c r="B134" s="1"/>
  <c r="D134" s="1"/>
  <c r="A133"/>
  <c r="B133" s="1"/>
  <c r="A131"/>
  <c r="A127"/>
  <c r="B127" s="1"/>
  <c r="A126"/>
  <c r="B126" s="1"/>
  <c r="D126" s="1"/>
  <c r="A125"/>
  <c r="B125" s="1"/>
  <c r="A124"/>
  <c r="B124" s="1"/>
  <c r="A123"/>
  <c r="B123" s="1"/>
  <c r="A122"/>
  <c r="B122" s="1"/>
  <c r="D122" s="1"/>
  <c r="A121"/>
  <c r="B121" s="1"/>
  <c r="A120"/>
  <c r="B120" s="1"/>
  <c r="A119"/>
  <c r="B119" s="1"/>
  <c r="A118"/>
  <c r="B118" s="1"/>
  <c r="D118" s="1"/>
  <c r="A116"/>
  <c r="A112"/>
  <c r="B112" s="1"/>
  <c r="A111"/>
  <c r="B111" s="1"/>
  <c r="A110"/>
  <c r="B110" s="1"/>
  <c r="D110" s="1"/>
  <c r="A109"/>
  <c r="B109" s="1"/>
  <c r="A108"/>
  <c r="B108" s="1"/>
  <c r="A107"/>
  <c r="B107" s="1"/>
  <c r="A106"/>
  <c r="B106" s="1"/>
  <c r="D106" s="1"/>
  <c r="A105"/>
  <c r="B105" s="1"/>
  <c r="A104"/>
  <c r="B104" s="1"/>
  <c r="A103"/>
  <c r="B103" s="1"/>
  <c r="A101"/>
  <c r="A97"/>
  <c r="B97" s="1"/>
  <c r="A96"/>
  <c r="B96" s="1"/>
  <c r="A95"/>
  <c r="B95" s="1"/>
  <c r="A94"/>
  <c r="B94" s="1"/>
  <c r="A93"/>
  <c r="B93" s="1"/>
  <c r="A92"/>
  <c r="B92" s="1"/>
  <c r="A91"/>
  <c r="B91" s="1"/>
  <c r="A90"/>
  <c r="B90" s="1"/>
  <c r="D90" s="1"/>
  <c r="A89"/>
  <c r="B89" s="1"/>
  <c r="A88"/>
  <c r="B88" s="1"/>
  <c r="A86"/>
  <c r="A82"/>
  <c r="B82" s="1"/>
  <c r="A81"/>
  <c r="B81" s="1"/>
  <c r="A80"/>
  <c r="B80" s="1"/>
  <c r="A79"/>
  <c r="B79" s="1"/>
  <c r="A78"/>
  <c r="B78" s="1"/>
  <c r="D78" s="1"/>
  <c r="A77"/>
  <c r="B77" s="1"/>
  <c r="A76"/>
  <c r="B76" s="1"/>
  <c r="A75"/>
  <c r="B75" s="1"/>
  <c r="A74"/>
  <c r="B74" s="1"/>
  <c r="D74" s="1"/>
  <c r="A73"/>
  <c r="B73" s="1"/>
  <c r="A71"/>
  <c r="A67"/>
  <c r="B67" s="1"/>
  <c r="A66"/>
  <c r="B66" s="1"/>
  <c r="D66" s="1"/>
  <c r="A65"/>
  <c r="B65" s="1"/>
  <c r="A64"/>
  <c r="B64" s="1"/>
  <c r="A63"/>
  <c r="B63" s="1"/>
  <c r="A62"/>
  <c r="B62" s="1"/>
  <c r="D62" s="1"/>
  <c r="A61"/>
  <c r="B61" s="1"/>
  <c r="A60"/>
  <c r="B60" s="1"/>
  <c r="A59"/>
  <c r="B59" s="1"/>
  <c r="A58"/>
  <c r="B58" s="1"/>
  <c r="D58" s="1"/>
  <c r="A56"/>
  <c r="A52"/>
  <c r="B52" s="1"/>
  <c r="A51"/>
  <c r="B51" s="1"/>
  <c r="A50"/>
  <c r="B50" s="1"/>
  <c r="D50" s="1"/>
  <c r="A49"/>
  <c r="B49" s="1"/>
  <c r="A48"/>
  <c r="B48" s="1"/>
  <c r="A47"/>
  <c r="B47" s="1"/>
  <c r="A46"/>
  <c r="B46" s="1"/>
  <c r="D46" s="1"/>
  <c r="A45"/>
  <c r="B45" s="1"/>
  <c r="A44"/>
  <c r="B44" s="1"/>
  <c r="A43"/>
  <c r="B43" s="1"/>
  <c r="A41"/>
  <c r="A36"/>
  <c r="B36" s="1"/>
  <c r="A35"/>
  <c r="B35" s="1"/>
  <c r="A34"/>
  <c r="B34" s="1"/>
  <c r="A33"/>
  <c r="A32"/>
  <c r="B32" s="1"/>
  <c r="A31"/>
  <c r="B31" s="1"/>
  <c r="A30"/>
  <c r="B30" s="1"/>
  <c r="A29"/>
  <c r="A28"/>
  <c r="B28" s="1"/>
  <c r="A27"/>
  <c r="B27" s="1"/>
  <c r="A25"/>
  <c r="A21"/>
  <c r="B21" s="1"/>
  <c r="A20"/>
  <c r="B20" s="1"/>
  <c r="D20" s="1"/>
  <c r="A19"/>
  <c r="B19" s="1"/>
  <c r="D19" s="1"/>
  <c r="A18"/>
  <c r="B18" s="1"/>
  <c r="D18" s="1"/>
  <c r="A17"/>
  <c r="B17" s="1"/>
  <c r="D17" s="1"/>
  <c r="A16"/>
  <c r="B16" s="1"/>
  <c r="D16" s="1"/>
  <c r="A15"/>
  <c r="B15" s="1"/>
  <c r="D15" s="1"/>
  <c r="A14"/>
  <c r="B14" s="1"/>
  <c r="D14" s="1"/>
  <c r="A13"/>
  <c r="B13" s="1"/>
  <c r="D13" s="1"/>
  <c r="A12"/>
  <c r="B12" s="1"/>
  <c r="D12" s="1"/>
  <c r="A10"/>
  <c r="B6"/>
  <c r="A6"/>
  <c r="B5"/>
  <c r="A5"/>
  <c r="B4"/>
  <c r="A4"/>
  <c r="B3"/>
  <c r="A3"/>
  <c r="B2"/>
  <c r="A2"/>
  <c r="A1"/>
  <c r="A442" i="3"/>
  <c r="B442" s="1"/>
  <c r="A434"/>
  <c r="B434" s="1"/>
  <c r="A424"/>
  <c r="B424" s="1"/>
  <c r="A415"/>
  <c r="B415" s="1"/>
  <c r="A402"/>
  <c r="B402" s="1"/>
  <c r="D402" s="1"/>
  <c r="A403"/>
  <c r="B403" s="1"/>
  <c r="D403" s="1"/>
  <c r="A404"/>
  <c r="B404" s="1"/>
  <c r="D404" s="1"/>
  <c r="A405"/>
  <c r="B405" s="1"/>
  <c r="D405" s="1"/>
  <c r="A406"/>
  <c r="B406" s="1"/>
  <c r="A391"/>
  <c r="B391" s="1"/>
  <c r="A381"/>
  <c r="B381" s="1"/>
  <c r="A371"/>
  <c r="B371" s="1"/>
  <c r="A361"/>
  <c r="B361" s="1"/>
  <c r="A351"/>
  <c r="A337"/>
  <c r="B337" s="1"/>
  <c r="D337" s="1"/>
  <c r="A338"/>
  <c r="B338" s="1"/>
  <c r="D338" s="1"/>
  <c r="A339"/>
  <c r="B339" s="1"/>
  <c r="D339" s="1"/>
  <c r="A340"/>
  <c r="B340" s="1"/>
  <c r="D340" s="1"/>
  <c r="A341"/>
  <c r="B341" s="1"/>
  <c r="A331"/>
  <c r="A322"/>
  <c r="A103"/>
  <c r="B103" s="1"/>
  <c r="A419"/>
  <c r="A70"/>
  <c r="B70" s="1"/>
  <c r="B29" i="5" l="1"/>
  <c r="B33"/>
  <c r="D33" s="1"/>
  <c r="D133"/>
  <c r="D225"/>
  <c r="D301"/>
  <c r="D649"/>
  <c r="D917"/>
  <c r="D484"/>
  <c r="D544"/>
  <c r="D30"/>
  <c r="D34"/>
  <c r="D43"/>
  <c r="D47"/>
  <c r="D51"/>
  <c r="D59"/>
  <c r="D63"/>
  <c r="D75"/>
  <c r="D79"/>
  <c r="D91"/>
  <c r="D95"/>
  <c r="D103"/>
  <c r="D107"/>
  <c r="D111"/>
  <c r="D119"/>
  <c r="D123"/>
  <c r="D135"/>
  <c r="D139"/>
  <c r="D151"/>
  <c r="D155"/>
  <c r="D163"/>
  <c r="D167"/>
  <c r="D171"/>
  <c r="D179"/>
  <c r="D183"/>
  <c r="D195"/>
  <c r="D199"/>
  <c r="D211"/>
  <c r="D215"/>
  <c r="D223"/>
  <c r="D227"/>
  <c r="D231"/>
  <c r="D239"/>
  <c r="D243"/>
  <c r="D255"/>
  <c r="D259"/>
  <c r="D271"/>
  <c r="D275"/>
  <c r="D283"/>
  <c r="D287"/>
  <c r="D291"/>
  <c r="D303"/>
  <c r="D315"/>
  <c r="D331"/>
  <c r="D335"/>
  <c r="D343"/>
  <c r="D347"/>
  <c r="D351"/>
  <c r="D359"/>
  <c r="D363"/>
  <c r="D375"/>
  <c r="D379"/>
  <c r="D391"/>
  <c r="D395"/>
  <c r="D403"/>
  <c r="D407"/>
  <c r="D419"/>
  <c r="D423"/>
  <c r="D439"/>
  <c r="D451"/>
  <c r="D455"/>
  <c r="D463"/>
  <c r="D467"/>
  <c r="D471"/>
  <c r="D479"/>
  <c r="D483"/>
  <c r="D495"/>
  <c r="D499"/>
  <c r="D511"/>
  <c r="D515"/>
  <c r="D523"/>
  <c r="D527"/>
  <c r="D531"/>
  <c r="D539"/>
  <c r="D555"/>
  <c r="D571"/>
  <c r="D799"/>
  <c r="D898"/>
  <c r="D902"/>
  <c r="D27"/>
  <c r="D31"/>
  <c r="D35"/>
  <c r="D44"/>
  <c r="D48"/>
  <c r="D60"/>
  <c r="D64"/>
  <c r="D76"/>
  <c r="D80"/>
  <c r="D88"/>
  <c r="D92"/>
  <c r="D96"/>
  <c r="D104"/>
  <c r="D108"/>
  <c r="D120"/>
  <c r="D124"/>
  <c r="D136"/>
  <c r="D140"/>
  <c r="D148"/>
  <c r="D152"/>
  <c r="D156"/>
  <c r="D164"/>
  <c r="D168"/>
  <c r="D180"/>
  <c r="D184"/>
  <c r="D196"/>
  <c r="D200"/>
  <c r="D208"/>
  <c r="D212"/>
  <c r="D216"/>
  <c r="D224"/>
  <c r="D240"/>
  <c r="D256"/>
  <c r="D260"/>
  <c r="D268"/>
  <c r="D272"/>
  <c r="D276"/>
  <c r="D284"/>
  <c r="D288"/>
  <c r="D300"/>
  <c r="D304"/>
  <c r="D316"/>
  <c r="D320"/>
  <c r="D328"/>
  <c r="D332"/>
  <c r="D336"/>
  <c r="D344"/>
  <c r="D348"/>
  <c r="D360"/>
  <c r="D364"/>
  <c r="D376"/>
  <c r="D380"/>
  <c r="D388"/>
  <c r="D392"/>
  <c r="D396"/>
  <c r="D404"/>
  <c r="D408"/>
  <c r="D420"/>
  <c r="D424"/>
  <c r="D436"/>
  <c r="D440"/>
  <c r="D448"/>
  <c r="D452"/>
  <c r="D456"/>
  <c r="D464"/>
  <c r="D468"/>
  <c r="D480"/>
  <c r="D496"/>
  <c r="D500"/>
  <c r="D508"/>
  <c r="D516"/>
  <c r="D524"/>
  <c r="D528"/>
  <c r="D540"/>
  <c r="D556"/>
  <c r="D560"/>
  <c r="D568"/>
  <c r="D572"/>
  <c r="D576"/>
  <c r="D584"/>
  <c r="D588"/>
  <c r="D600"/>
  <c r="D604"/>
  <c r="D616"/>
  <c r="D620"/>
  <c r="D628"/>
  <c r="D632"/>
  <c r="D636"/>
  <c r="D644"/>
  <c r="D648"/>
  <c r="D664"/>
  <c r="D676"/>
  <c r="D680"/>
  <c r="D688"/>
  <c r="D692"/>
  <c r="D696"/>
  <c r="D704"/>
  <c r="D708"/>
  <c r="D720"/>
  <c r="D724"/>
  <c r="D736"/>
  <c r="D740"/>
  <c r="D748"/>
  <c r="D752"/>
  <c r="D756"/>
  <c r="D764"/>
  <c r="D768"/>
  <c r="D780"/>
  <c r="D784"/>
  <c r="D796"/>
  <c r="D800"/>
  <c r="D808"/>
  <c r="D812"/>
  <c r="D816"/>
  <c r="D824"/>
  <c r="D828"/>
  <c r="D840"/>
  <c r="D844"/>
  <c r="D856"/>
  <c r="D860"/>
  <c r="D868"/>
  <c r="D872"/>
  <c r="D876"/>
  <c r="D884"/>
  <c r="D888"/>
  <c r="D900"/>
  <c r="D904"/>
  <c r="D916"/>
  <c r="D920"/>
  <c r="D928"/>
  <c r="D932"/>
  <c r="D936"/>
  <c r="D906"/>
  <c r="D914"/>
  <c r="D918"/>
  <c r="D930"/>
  <c r="D934"/>
  <c r="D28"/>
  <c r="D32"/>
  <c r="D45"/>
  <c r="D61"/>
  <c r="D65"/>
  <c r="D73"/>
  <c r="D77"/>
  <c r="D81"/>
  <c r="D89"/>
  <c r="D93"/>
  <c r="D105"/>
  <c r="D109"/>
  <c r="D121"/>
  <c r="D125"/>
  <c r="D137"/>
  <c r="D141"/>
  <c r="D149"/>
  <c r="D165"/>
  <c r="D169"/>
  <c r="D193"/>
  <c r="D197"/>
  <c r="D201"/>
  <c r="D209"/>
  <c r="D213"/>
  <c r="D229"/>
  <c r="D241"/>
  <c r="D245"/>
  <c r="D253"/>
  <c r="D257"/>
  <c r="D261"/>
  <c r="D575"/>
  <c r="D583"/>
  <c r="D587"/>
  <c r="D591"/>
  <c r="D599"/>
  <c r="D603"/>
  <c r="D615"/>
  <c r="D619"/>
  <c r="D631"/>
  <c r="D635"/>
  <c r="D643"/>
  <c r="D647"/>
  <c r="D651"/>
  <c r="D659"/>
  <c r="D663"/>
  <c r="D675"/>
  <c r="D679"/>
  <c r="D691"/>
  <c r="D695"/>
  <c r="D703"/>
  <c r="D707"/>
  <c r="D711"/>
  <c r="D719"/>
  <c r="D723"/>
  <c r="D735"/>
  <c r="D739"/>
  <c r="D751"/>
  <c r="D755"/>
  <c r="D763"/>
  <c r="D767"/>
  <c r="D771"/>
  <c r="D779"/>
  <c r="D783"/>
  <c r="D795"/>
  <c r="D811"/>
  <c r="D815"/>
  <c r="D823"/>
  <c r="D827"/>
  <c r="D831"/>
  <c r="D839"/>
  <c r="D843"/>
  <c r="D855"/>
  <c r="D859"/>
  <c r="D871"/>
  <c r="D875"/>
  <c r="D883"/>
  <c r="D887"/>
  <c r="D891"/>
  <c r="D899"/>
  <c r="D903"/>
  <c r="D915"/>
  <c r="D919"/>
  <c r="D931"/>
  <c r="D935"/>
  <c r="D210"/>
  <c r="D299"/>
  <c r="D349"/>
  <c r="D465"/>
  <c r="D543"/>
  <c r="D601"/>
  <c r="D689"/>
  <c r="D885"/>
  <c r="D269"/>
  <c r="D273"/>
  <c r="D285"/>
  <c r="D289"/>
  <c r="D305"/>
  <c r="D313"/>
  <c r="D317"/>
  <c r="D321"/>
  <c r="D329"/>
  <c r="D333"/>
  <c r="D345"/>
  <c r="D361"/>
  <c r="D365"/>
  <c r="D373"/>
  <c r="D377"/>
  <c r="D381"/>
  <c r="D389"/>
  <c r="D393"/>
  <c r="D405"/>
  <c r="D409"/>
  <c r="D421"/>
  <c r="D425"/>
  <c r="D433"/>
  <c r="D437"/>
  <c r="D441"/>
  <c r="D449"/>
  <c r="D453"/>
  <c r="D469"/>
  <c r="D481"/>
  <c r="D485"/>
  <c r="D493"/>
  <c r="D501"/>
  <c r="D513"/>
  <c r="D525"/>
  <c r="D529"/>
  <c r="D541"/>
  <c r="D545"/>
  <c r="D553"/>
  <c r="D557"/>
  <c r="D561"/>
  <c r="D569"/>
  <c r="D585"/>
  <c r="D589"/>
  <c r="D605"/>
  <c r="D613"/>
  <c r="D617"/>
  <c r="D621"/>
  <c r="D629"/>
  <c r="D633"/>
  <c r="D645"/>
  <c r="D661"/>
  <c r="D665"/>
  <c r="D677"/>
  <c r="D681"/>
  <c r="D693"/>
  <c r="D705"/>
  <c r="D709"/>
  <c r="D721"/>
  <c r="D725"/>
  <c r="D733"/>
  <c r="D737"/>
  <c r="D741"/>
  <c r="D749"/>
  <c r="D753"/>
  <c r="D765"/>
  <c r="D769"/>
  <c r="D781"/>
  <c r="D785"/>
  <c r="D793"/>
  <c r="D797"/>
  <c r="D801"/>
  <c r="D809"/>
  <c r="D813"/>
  <c r="D825"/>
  <c r="D829"/>
  <c r="D845"/>
  <c r="D853"/>
  <c r="D857"/>
  <c r="D861"/>
  <c r="D869"/>
  <c r="D873"/>
  <c r="D889"/>
  <c r="D901"/>
  <c r="D905"/>
  <c r="D913"/>
  <c r="D921"/>
  <c r="D929"/>
  <c r="D181"/>
  <c r="D228"/>
  <c r="D411"/>
  <c r="D497"/>
  <c r="D559"/>
  <c r="D660"/>
  <c r="D933"/>
  <c r="D49"/>
  <c r="D94"/>
  <c r="D153"/>
  <c r="D185"/>
  <c r="D244"/>
  <c r="D319"/>
  <c r="D435"/>
  <c r="D509"/>
  <c r="D573"/>
  <c r="D673"/>
  <c r="D841"/>
  <c r="C18"/>
  <c r="C14"/>
  <c r="C16"/>
  <c r="C20"/>
  <c r="C21"/>
  <c r="C15"/>
  <c r="C19"/>
  <c r="C61"/>
  <c r="C121"/>
  <c r="C153"/>
  <c r="C35"/>
  <c r="C92"/>
  <c r="C96"/>
  <c r="C104"/>
  <c r="C112"/>
  <c r="C168"/>
  <c r="C180"/>
  <c r="C184"/>
  <c r="C125"/>
  <c r="C165"/>
  <c r="C111"/>
  <c r="C155"/>
  <c r="C65"/>
  <c r="C108"/>
  <c r="C140"/>
  <c r="C164"/>
  <c r="C63"/>
  <c r="C82"/>
  <c r="C78"/>
  <c r="C74"/>
  <c r="C106"/>
  <c r="C150"/>
  <c r="C60"/>
  <c r="C135"/>
  <c r="C170"/>
  <c r="C79"/>
  <c r="C97"/>
  <c r="C89"/>
  <c r="C126"/>
  <c r="C141"/>
  <c r="C138"/>
  <c r="C181"/>
  <c r="B278"/>
  <c r="C64"/>
  <c r="C80"/>
  <c r="C76"/>
  <c r="C94"/>
  <c r="C90"/>
  <c r="C107"/>
  <c r="C127"/>
  <c r="C123"/>
  <c r="C119"/>
  <c r="C139"/>
  <c r="C136"/>
  <c r="C154"/>
  <c r="C151"/>
  <c r="C169"/>
  <c r="C166"/>
  <c r="C186"/>
  <c r="C182"/>
  <c r="C66"/>
  <c r="C75"/>
  <c r="C93"/>
  <c r="C109"/>
  <c r="C122"/>
  <c r="C156"/>
  <c r="C171"/>
  <c r="C185"/>
  <c r="C67"/>
  <c r="C62"/>
  <c r="C59"/>
  <c r="C81"/>
  <c r="C77"/>
  <c r="C95"/>
  <c r="C91"/>
  <c r="C110"/>
  <c r="C105"/>
  <c r="C124"/>
  <c r="C120"/>
  <c r="C142"/>
  <c r="C137"/>
  <c r="C134"/>
  <c r="C157"/>
  <c r="C152"/>
  <c r="C149"/>
  <c r="C172"/>
  <c r="C167"/>
  <c r="C187"/>
  <c r="C183"/>
  <c r="C179"/>
  <c r="C31"/>
  <c r="C52"/>
  <c r="C73"/>
  <c r="C198"/>
  <c r="C334"/>
  <c r="C859"/>
  <c r="C48"/>
  <c r="C45"/>
  <c r="C227"/>
  <c r="C288"/>
  <c r="C362"/>
  <c r="C49"/>
  <c r="C50"/>
  <c r="C46"/>
  <c r="C44"/>
  <c r="C51"/>
  <c r="C47"/>
  <c r="C230"/>
  <c r="C395"/>
  <c r="C404"/>
  <c r="C410"/>
  <c r="C412"/>
  <c r="C510"/>
  <c r="C575"/>
  <c r="C36"/>
  <c r="C28"/>
  <c r="C201"/>
  <c r="C260"/>
  <c r="C622"/>
  <c r="C734"/>
  <c r="C738"/>
  <c r="C906"/>
  <c r="C224"/>
  <c r="C285"/>
  <c r="C359"/>
  <c r="C363"/>
  <c r="C391"/>
  <c r="C405"/>
  <c r="C409"/>
  <c r="C422"/>
  <c r="C454"/>
  <c r="C34"/>
  <c r="C30"/>
  <c r="C32"/>
  <c r="C17"/>
  <c r="B98"/>
  <c r="B218"/>
  <c r="C13"/>
  <c r="C12"/>
  <c r="C27"/>
  <c r="B158"/>
  <c r="C193"/>
  <c r="C232"/>
  <c r="C247"/>
  <c r="C255"/>
  <c r="C287"/>
  <c r="C314"/>
  <c r="C330"/>
  <c r="C337"/>
  <c r="C367"/>
  <c r="C406"/>
  <c r="C408"/>
  <c r="C538"/>
  <c r="C719"/>
  <c r="C898"/>
  <c r="C842"/>
  <c r="C225"/>
  <c r="C262"/>
  <c r="C290"/>
  <c r="C302"/>
  <c r="B353"/>
  <c r="C378"/>
  <c r="C382"/>
  <c r="C450"/>
  <c r="C457"/>
  <c r="B743"/>
  <c r="B803"/>
  <c r="B173"/>
  <c r="B293"/>
  <c r="C88"/>
  <c r="C133"/>
  <c r="C194"/>
  <c r="C202"/>
  <c r="C208"/>
  <c r="C209"/>
  <c r="C210"/>
  <c r="C211"/>
  <c r="C212"/>
  <c r="C213"/>
  <c r="C214"/>
  <c r="C215"/>
  <c r="C216"/>
  <c r="C217"/>
  <c r="C226"/>
  <c r="C229"/>
  <c r="C253"/>
  <c r="C256"/>
  <c r="C284"/>
  <c r="C292"/>
  <c r="C306"/>
  <c r="C397"/>
  <c r="C403"/>
  <c r="C407"/>
  <c r="C411"/>
  <c r="B413"/>
  <c r="C434"/>
  <c r="C542"/>
  <c r="B53"/>
  <c r="C43"/>
  <c r="C103"/>
  <c r="C163"/>
  <c r="C197"/>
  <c r="C223"/>
  <c r="C228"/>
  <c r="C231"/>
  <c r="C259"/>
  <c r="C283"/>
  <c r="C286"/>
  <c r="C358"/>
  <c r="C366"/>
  <c r="C390"/>
  <c r="C418"/>
  <c r="C426"/>
  <c r="B638"/>
  <c r="C242"/>
  <c r="C299"/>
  <c r="C244"/>
  <c r="C301"/>
  <c r="C389"/>
  <c r="C393"/>
  <c r="C589"/>
  <c r="B308"/>
  <c r="C240"/>
  <c r="C433"/>
  <c r="B443"/>
  <c r="C118"/>
  <c r="B128"/>
  <c r="C238"/>
  <c r="B248"/>
  <c r="C246"/>
  <c r="C313"/>
  <c r="B323"/>
  <c r="C377"/>
  <c r="C381"/>
  <c r="C239"/>
  <c r="C243"/>
  <c r="C300"/>
  <c r="C333"/>
  <c r="C365"/>
  <c r="C392"/>
  <c r="C441"/>
  <c r="C469"/>
  <c r="C553"/>
  <c r="B563"/>
  <c r="C557"/>
  <c r="C561"/>
  <c r="C616"/>
  <c r="C620"/>
  <c r="C661"/>
  <c r="C721"/>
  <c r="B83"/>
  <c r="B203"/>
  <c r="C317"/>
  <c r="C329"/>
  <c r="C336"/>
  <c r="C376"/>
  <c r="B398"/>
  <c r="C388"/>
  <c r="C437"/>
  <c r="C449"/>
  <c r="C456"/>
  <c r="C464"/>
  <c r="C485"/>
  <c r="C525"/>
  <c r="C541"/>
  <c r="C570"/>
  <c r="C605"/>
  <c r="C645"/>
  <c r="B713"/>
  <c r="C703"/>
  <c r="C711"/>
  <c r="C754"/>
  <c r="C784"/>
  <c r="C887"/>
  <c r="C890"/>
  <c r="C900"/>
  <c r="C919"/>
  <c r="C930"/>
  <c r="B938"/>
  <c r="C921"/>
  <c r="C917"/>
  <c r="C913"/>
  <c r="C907"/>
  <c r="C903"/>
  <c r="C899"/>
  <c r="C861"/>
  <c r="C857"/>
  <c r="C844"/>
  <c r="C840"/>
  <c r="C802"/>
  <c r="C801"/>
  <c r="C800"/>
  <c r="C799"/>
  <c r="C798"/>
  <c r="C797"/>
  <c r="C796"/>
  <c r="C795"/>
  <c r="C794"/>
  <c r="C793"/>
  <c r="C786"/>
  <c r="C782"/>
  <c r="C778"/>
  <c r="C724"/>
  <c r="C720"/>
  <c r="C636"/>
  <c r="C632"/>
  <c r="C628"/>
  <c r="C576"/>
  <c r="C572"/>
  <c r="C568"/>
  <c r="C516"/>
  <c r="C512"/>
  <c r="C508"/>
  <c r="C854"/>
  <c r="C847"/>
  <c r="C839"/>
  <c r="C741"/>
  <c r="C737"/>
  <c r="C733"/>
  <c r="C635"/>
  <c r="C631"/>
  <c r="C603"/>
  <c r="C515"/>
  <c r="C511"/>
  <c r="C483"/>
  <c r="C902"/>
  <c r="C860"/>
  <c r="C856"/>
  <c r="C853"/>
  <c r="C846"/>
  <c r="C838"/>
  <c r="C781"/>
  <c r="C740"/>
  <c r="C736"/>
  <c r="C723"/>
  <c r="C663"/>
  <c r="C607"/>
  <c r="C602"/>
  <c r="C539"/>
  <c r="C487"/>
  <c r="C482"/>
  <c r="C424"/>
  <c r="C420"/>
  <c r="C364"/>
  <c r="C360"/>
  <c r="C304"/>
  <c r="C920"/>
  <c r="C916"/>
  <c r="C901"/>
  <c r="C843"/>
  <c r="C780"/>
  <c r="C739"/>
  <c r="C735"/>
  <c r="C722"/>
  <c r="C667"/>
  <c r="C662"/>
  <c r="C658"/>
  <c r="C634"/>
  <c r="C630"/>
  <c r="C606"/>
  <c r="C305"/>
  <c r="C320"/>
  <c r="C332"/>
  <c r="C421"/>
  <c r="C425"/>
  <c r="C440"/>
  <c r="C452"/>
  <c r="B488"/>
  <c r="C478"/>
  <c r="C494"/>
  <c r="C496"/>
  <c r="C498"/>
  <c r="C500"/>
  <c r="C524"/>
  <c r="C528"/>
  <c r="C530"/>
  <c r="C540"/>
  <c r="C544"/>
  <c r="C546"/>
  <c r="C569"/>
  <c r="B578"/>
  <c r="C585"/>
  <c r="B608"/>
  <c r="C598"/>
  <c r="C665"/>
  <c r="C691"/>
  <c r="B698"/>
  <c r="C705"/>
  <c r="C726"/>
  <c r="C813"/>
  <c r="B818"/>
  <c r="C915"/>
  <c r="B428"/>
  <c r="B113"/>
  <c r="C148"/>
  <c r="C195"/>
  <c r="C199"/>
  <c r="B233"/>
  <c r="C257"/>
  <c r="C261"/>
  <c r="C268"/>
  <c r="C269"/>
  <c r="C270"/>
  <c r="C271"/>
  <c r="C272"/>
  <c r="C273"/>
  <c r="C274"/>
  <c r="C275"/>
  <c r="C276"/>
  <c r="C277"/>
  <c r="C303"/>
  <c r="C307"/>
  <c r="C322"/>
  <c r="C335"/>
  <c r="C343"/>
  <c r="C344"/>
  <c r="C345"/>
  <c r="C346"/>
  <c r="C347"/>
  <c r="C348"/>
  <c r="C349"/>
  <c r="C350"/>
  <c r="C351"/>
  <c r="C352"/>
  <c r="C374"/>
  <c r="C419"/>
  <c r="C423"/>
  <c r="C427"/>
  <c r="C442"/>
  <c r="C455"/>
  <c r="C472"/>
  <c r="C486"/>
  <c r="C502"/>
  <c r="C514"/>
  <c r="C577"/>
  <c r="C785"/>
  <c r="C787"/>
  <c r="C855"/>
  <c r="C58"/>
  <c r="B68"/>
  <c r="C178"/>
  <c r="B188"/>
  <c r="C241"/>
  <c r="C245"/>
  <c r="C298"/>
  <c r="C321"/>
  <c r="C361"/>
  <c r="C373"/>
  <c r="C380"/>
  <c r="C453"/>
  <c r="C481"/>
  <c r="C555"/>
  <c r="C559"/>
  <c r="C573"/>
  <c r="C614"/>
  <c r="C618"/>
  <c r="C709"/>
  <c r="C868"/>
  <c r="B878"/>
  <c r="B22"/>
  <c r="B143"/>
  <c r="B263"/>
  <c r="C316"/>
  <c r="B338"/>
  <c r="C328"/>
  <c r="C396"/>
  <c r="C436"/>
  <c r="B458"/>
  <c r="C448"/>
  <c r="C465"/>
  <c r="C574"/>
  <c r="C648"/>
  <c r="C650"/>
  <c r="C659"/>
  <c r="C707"/>
  <c r="B728"/>
  <c r="C718"/>
  <c r="C779"/>
  <c r="C876"/>
  <c r="C905"/>
  <c r="C196"/>
  <c r="C200"/>
  <c r="C254"/>
  <c r="C258"/>
  <c r="C289"/>
  <c r="C291"/>
  <c r="C318"/>
  <c r="C331"/>
  <c r="B368"/>
  <c r="B383"/>
  <c r="C394"/>
  <c r="C438"/>
  <c r="C451"/>
  <c r="C479"/>
  <c r="C526"/>
  <c r="C543"/>
  <c r="C547"/>
  <c r="C571"/>
  <c r="C599"/>
  <c r="C666"/>
  <c r="C727"/>
  <c r="C742"/>
  <c r="C601"/>
  <c r="C644"/>
  <c r="C664"/>
  <c r="C673"/>
  <c r="B683"/>
  <c r="C675"/>
  <c r="C677"/>
  <c r="C679"/>
  <c r="C681"/>
  <c r="C748"/>
  <c r="B758"/>
  <c r="C764"/>
  <c r="C766"/>
  <c r="C768"/>
  <c r="C770"/>
  <c r="C845"/>
  <c r="C870"/>
  <c r="C884"/>
  <c r="C889"/>
  <c r="C914"/>
  <c r="B923"/>
  <c r="C918"/>
  <c r="C932"/>
  <c r="C463"/>
  <c r="B473"/>
  <c r="C468"/>
  <c r="C484"/>
  <c r="C493"/>
  <c r="B503"/>
  <c r="C495"/>
  <c r="C497"/>
  <c r="C499"/>
  <c r="C501"/>
  <c r="C529"/>
  <c r="B548"/>
  <c r="C545"/>
  <c r="C554"/>
  <c r="C556"/>
  <c r="C558"/>
  <c r="C560"/>
  <c r="C588"/>
  <c r="C604"/>
  <c r="C613"/>
  <c r="B623"/>
  <c r="C615"/>
  <c r="C617"/>
  <c r="C619"/>
  <c r="C621"/>
  <c r="C649"/>
  <c r="B668"/>
  <c r="C660"/>
  <c r="C725"/>
  <c r="C783"/>
  <c r="B833"/>
  <c r="C823"/>
  <c r="C825"/>
  <c r="C827"/>
  <c r="C829"/>
  <c r="C831"/>
  <c r="C858"/>
  <c r="C872"/>
  <c r="B893"/>
  <c r="C883"/>
  <c r="C886"/>
  <c r="C891"/>
  <c r="C904"/>
  <c r="C934"/>
  <c r="C592"/>
  <c r="C646"/>
  <c r="C693"/>
  <c r="C756"/>
  <c r="C772"/>
  <c r="C815"/>
  <c r="C892"/>
  <c r="C922"/>
  <c r="C315"/>
  <c r="C319"/>
  <c r="C375"/>
  <c r="C379"/>
  <c r="C435"/>
  <c r="C439"/>
  <c r="C470"/>
  <c r="C562"/>
  <c r="C590"/>
  <c r="C695"/>
  <c r="C750"/>
  <c r="C809"/>
  <c r="C817"/>
  <c r="C862"/>
  <c r="C480"/>
  <c r="C509"/>
  <c r="B518"/>
  <c r="C513"/>
  <c r="C584"/>
  <c r="C600"/>
  <c r="C629"/>
  <c r="C633"/>
  <c r="C674"/>
  <c r="C676"/>
  <c r="C678"/>
  <c r="C680"/>
  <c r="B848"/>
  <c r="C841"/>
  <c r="C874"/>
  <c r="C885"/>
  <c r="C888"/>
  <c r="C928"/>
  <c r="C936"/>
  <c r="C466"/>
  <c r="C517"/>
  <c r="C532"/>
  <c r="C586"/>
  <c r="C637"/>
  <c r="C652"/>
  <c r="C682"/>
  <c r="C689"/>
  <c r="C697"/>
  <c r="C752"/>
  <c r="C811"/>
  <c r="B863"/>
  <c r="C704"/>
  <c r="C706"/>
  <c r="C708"/>
  <c r="C710"/>
  <c r="B773"/>
  <c r="C763"/>
  <c r="C765"/>
  <c r="C767"/>
  <c r="C769"/>
  <c r="C771"/>
  <c r="C824"/>
  <c r="C826"/>
  <c r="C828"/>
  <c r="C830"/>
  <c r="B908"/>
  <c r="C467"/>
  <c r="C471"/>
  <c r="C523"/>
  <c r="C527"/>
  <c r="C531"/>
  <c r="B533"/>
  <c r="C583"/>
  <c r="C587"/>
  <c r="C591"/>
  <c r="B593"/>
  <c r="C643"/>
  <c r="C647"/>
  <c r="C651"/>
  <c r="B653"/>
  <c r="C712"/>
  <c r="C832"/>
  <c r="C869"/>
  <c r="C871"/>
  <c r="C873"/>
  <c r="C875"/>
  <c r="C877"/>
  <c r="C929"/>
  <c r="C931"/>
  <c r="C933"/>
  <c r="C935"/>
  <c r="C937"/>
  <c r="B788"/>
  <c r="C688"/>
  <c r="C690"/>
  <c r="C692"/>
  <c r="C694"/>
  <c r="C696"/>
  <c r="C749"/>
  <c r="C751"/>
  <c r="C753"/>
  <c r="C755"/>
  <c r="C757"/>
  <c r="C808"/>
  <c r="C810"/>
  <c r="C812"/>
  <c r="C814"/>
  <c r="C816"/>
  <c r="C442" i="3"/>
  <c r="C434"/>
  <c r="C424"/>
  <c r="C415"/>
  <c r="C406"/>
  <c r="C404"/>
  <c r="C402"/>
  <c r="C405"/>
  <c r="C403"/>
  <c r="C391"/>
  <c r="C381"/>
  <c r="B342"/>
  <c r="C371"/>
  <c r="C361"/>
  <c r="C337"/>
  <c r="C341"/>
  <c r="C338"/>
  <c r="C339"/>
  <c r="C340"/>
  <c r="C70"/>
  <c r="A441"/>
  <c r="B441" s="1"/>
  <c r="A440"/>
  <c r="B440" s="1"/>
  <c r="D440" s="1"/>
  <c r="A438"/>
  <c r="A431"/>
  <c r="B431" s="1"/>
  <c r="A432"/>
  <c r="B432" s="1"/>
  <c r="A433"/>
  <c r="B433" s="1"/>
  <c r="D433" s="1"/>
  <c r="A430"/>
  <c r="B430" s="1"/>
  <c r="D430" s="1"/>
  <c r="A428"/>
  <c r="A422"/>
  <c r="B422" s="1"/>
  <c r="A423"/>
  <c r="B423" s="1"/>
  <c r="D423" s="1"/>
  <c r="A421"/>
  <c r="B421" s="1"/>
  <c r="D421" s="1"/>
  <c r="A413"/>
  <c r="A414"/>
  <c r="B414" s="1"/>
  <c r="A412"/>
  <c r="B412" s="1"/>
  <c r="D412" s="1"/>
  <c r="A410"/>
  <c r="A398"/>
  <c r="B398" s="1"/>
  <c r="D398" s="1"/>
  <c r="A399"/>
  <c r="B399" s="1"/>
  <c r="D399" s="1"/>
  <c r="A400"/>
  <c r="B400" s="1"/>
  <c r="D400" s="1"/>
  <c r="A401"/>
  <c r="B401" s="1"/>
  <c r="D401" s="1"/>
  <c r="A397"/>
  <c r="B397" s="1"/>
  <c r="D397" s="1"/>
  <c r="A395"/>
  <c r="A388"/>
  <c r="B388" s="1"/>
  <c r="A389"/>
  <c r="B389" s="1"/>
  <c r="D389" s="1"/>
  <c r="A390"/>
  <c r="B390" s="1"/>
  <c r="A387"/>
  <c r="B387" s="1"/>
  <c r="D387" s="1"/>
  <c r="A385"/>
  <c r="A378"/>
  <c r="B378" s="1"/>
  <c r="D378" s="1"/>
  <c r="A379"/>
  <c r="B379" s="1"/>
  <c r="A380"/>
  <c r="B380" s="1"/>
  <c r="A377"/>
  <c r="B377" s="1"/>
  <c r="D377" s="1"/>
  <c r="A375"/>
  <c r="A368"/>
  <c r="B368" s="1"/>
  <c r="A369"/>
  <c r="B369" s="1"/>
  <c r="A370"/>
  <c r="B370" s="1"/>
  <c r="D370" s="1"/>
  <c r="A367"/>
  <c r="B367" s="1"/>
  <c r="D367" s="1"/>
  <c r="A365"/>
  <c r="A358"/>
  <c r="B358" s="1"/>
  <c r="A359"/>
  <c r="B359" s="1"/>
  <c r="D359" s="1"/>
  <c r="A360"/>
  <c r="B360" s="1"/>
  <c r="A357"/>
  <c r="B357" s="1"/>
  <c r="D357" s="1"/>
  <c r="A355"/>
  <c r="A348"/>
  <c r="A349"/>
  <c r="A350"/>
  <c r="A347"/>
  <c r="A345"/>
  <c r="A335"/>
  <c r="A329"/>
  <c r="A330"/>
  <c r="A328"/>
  <c r="A326"/>
  <c r="A320"/>
  <c r="A321"/>
  <c r="A319"/>
  <c r="A317"/>
  <c r="A311"/>
  <c r="A312"/>
  <c r="A313"/>
  <c r="A310"/>
  <c r="A308"/>
  <c r="A302"/>
  <c r="B302" s="1"/>
  <c r="C302" s="1"/>
  <c r="A303"/>
  <c r="B303" s="1"/>
  <c r="D303" s="1"/>
  <c r="A304"/>
  <c r="B304" s="1"/>
  <c r="C304" s="1"/>
  <c r="A301"/>
  <c r="B301" s="1"/>
  <c r="C301" s="1"/>
  <c r="A299"/>
  <c r="A293"/>
  <c r="B293" s="1"/>
  <c r="C293" s="1"/>
  <c r="A294"/>
  <c r="B294" s="1"/>
  <c r="D294" s="1"/>
  <c r="A295"/>
  <c r="B295" s="1"/>
  <c r="C295" s="1"/>
  <c r="A292"/>
  <c r="B292" s="1"/>
  <c r="C292" s="1"/>
  <c r="A290"/>
  <c r="A284"/>
  <c r="B284" s="1"/>
  <c r="C284" s="1"/>
  <c r="A285"/>
  <c r="B285" s="1"/>
  <c r="D285" s="1"/>
  <c r="A286"/>
  <c r="B286" s="1"/>
  <c r="C286" s="1"/>
  <c r="A283"/>
  <c r="B283" s="1"/>
  <c r="D283" s="1"/>
  <c r="A281"/>
  <c r="A275"/>
  <c r="B275" s="1"/>
  <c r="C275" s="1"/>
  <c r="A276"/>
  <c r="B276" s="1"/>
  <c r="D276" s="1"/>
  <c r="A277"/>
  <c r="B277" s="1"/>
  <c r="C277" s="1"/>
  <c r="A274"/>
  <c r="B274" s="1"/>
  <c r="D274" s="1"/>
  <c r="A272"/>
  <c r="A266"/>
  <c r="B266" s="1"/>
  <c r="D266" s="1"/>
  <c r="A267"/>
  <c r="B267" s="1"/>
  <c r="D267" s="1"/>
  <c r="A268"/>
  <c r="B268" s="1"/>
  <c r="C268" s="1"/>
  <c r="A265"/>
  <c r="B265" s="1"/>
  <c r="D265" s="1"/>
  <c r="A263"/>
  <c r="A257"/>
  <c r="B257" s="1"/>
  <c r="C257" s="1"/>
  <c r="A258"/>
  <c r="B258" s="1"/>
  <c r="A259"/>
  <c r="B259" s="1"/>
  <c r="C259" s="1"/>
  <c r="A256"/>
  <c r="B256" s="1"/>
  <c r="C256" s="1"/>
  <c r="A254"/>
  <c r="A248"/>
  <c r="B248" s="1"/>
  <c r="C248" s="1"/>
  <c r="A249"/>
  <c r="B249" s="1"/>
  <c r="D249" s="1"/>
  <c r="A250"/>
  <c r="B250" s="1"/>
  <c r="C250" s="1"/>
  <c r="A247"/>
  <c r="B247" s="1"/>
  <c r="C247" s="1"/>
  <c r="A245"/>
  <c r="A239"/>
  <c r="B239" s="1"/>
  <c r="C239" s="1"/>
  <c r="A240"/>
  <c r="B240" s="1"/>
  <c r="D240" s="1"/>
  <c r="A241"/>
  <c r="B241" s="1"/>
  <c r="C241" s="1"/>
  <c r="A238"/>
  <c r="B238" s="1"/>
  <c r="C238" s="1"/>
  <c r="A236"/>
  <c r="A230"/>
  <c r="B230" s="1"/>
  <c r="D230" s="1"/>
  <c r="A231"/>
  <c r="B231" s="1"/>
  <c r="C231" s="1"/>
  <c r="A232"/>
  <c r="B232" s="1"/>
  <c r="A229"/>
  <c r="B229" s="1"/>
  <c r="D229" s="1"/>
  <c r="A227"/>
  <c r="A221"/>
  <c r="B221" s="1"/>
  <c r="C221" s="1"/>
  <c r="A222"/>
  <c r="B222" s="1"/>
  <c r="D222" s="1"/>
  <c r="A223"/>
  <c r="B223" s="1"/>
  <c r="C223" s="1"/>
  <c r="A220"/>
  <c r="B220" s="1"/>
  <c r="C220" s="1"/>
  <c r="A218"/>
  <c r="A212"/>
  <c r="B212" s="1"/>
  <c r="C212" s="1"/>
  <c r="A213"/>
  <c r="B213" s="1"/>
  <c r="D213" s="1"/>
  <c r="A214"/>
  <c r="B214" s="1"/>
  <c r="C214" s="1"/>
  <c r="A211"/>
  <c r="B211" s="1"/>
  <c r="C211" s="1"/>
  <c r="A209"/>
  <c r="A203"/>
  <c r="B203" s="1"/>
  <c r="C203" s="1"/>
  <c r="A204"/>
  <c r="B204" s="1"/>
  <c r="D204" s="1"/>
  <c r="A205"/>
  <c r="B205" s="1"/>
  <c r="C205" s="1"/>
  <c r="A202"/>
  <c r="B202" s="1"/>
  <c r="C202" s="1"/>
  <c r="A200"/>
  <c r="A194"/>
  <c r="B194" s="1"/>
  <c r="D194" s="1"/>
  <c r="A195"/>
  <c r="B195" s="1"/>
  <c r="D195" s="1"/>
  <c r="A196"/>
  <c r="B196" s="1"/>
  <c r="C196" s="1"/>
  <c r="A193"/>
  <c r="B193" s="1"/>
  <c r="C193" s="1"/>
  <c r="A191"/>
  <c r="A185"/>
  <c r="B185" s="1"/>
  <c r="C185" s="1"/>
  <c r="A186"/>
  <c r="B186" s="1"/>
  <c r="D186" s="1"/>
  <c r="A187"/>
  <c r="B187" s="1"/>
  <c r="C187" s="1"/>
  <c r="A184"/>
  <c r="B184" s="1"/>
  <c r="C184" s="1"/>
  <c r="A182"/>
  <c r="A176"/>
  <c r="B176" s="1"/>
  <c r="D176" s="1"/>
  <c r="A177"/>
  <c r="B177" s="1"/>
  <c r="C177" s="1"/>
  <c r="A178"/>
  <c r="B178" s="1"/>
  <c r="A175"/>
  <c r="B175" s="1"/>
  <c r="D175" s="1"/>
  <c r="A173"/>
  <c r="A167"/>
  <c r="B167" s="1"/>
  <c r="C167" s="1"/>
  <c r="A168"/>
  <c r="B168" s="1"/>
  <c r="D168" s="1"/>
  <c r="A169"/>
  <c r="B169" s="1"/>
  <c r="C169" s="1"/>
  <c r="A166"/>
  <c r="B166" s="1"/>
  <c r="A164"/>
  <c r="A158"/>
  <c r="B158" s="1"/>
  <c r="C158" s="1"/>
  <c r="A159"/>
  <c r="B159" s="1"/>
  <c r="D159" s="1"/>
  <c r="A160"/>
  <c r="B160" s="1"/>
  <c r="C160" s="1"/>
  <c r="A157"/>
  <c r="B157" s="1"/>
  <c r="D157" s="1"/>
  <c r="A155"/>
  <c r="A149"/>
  <c r="B149" s="1"/>
  <c r="C149" s="1"/>
  <c r="A150"/>
  <c r="B150" s="1"/>
  <c r="D150" s="1"/>
  <c r="A151"/>
  <c r="B151" s="1"/>
  <c r="C151" s="1"/>
  <c r="A148"/>
  <c r="B148" s="1"/>
  <c r="C148" s="1"/>
  <c r="A146"/>
  <c r="A140"/>
  <c r="B140" s="1"/>
  <c r="C140" s="1"/>
  <c r="A141"/>
  <c r="B141" s="1"/>
  <c r="D141" s="1"/>
  <c r="A142"/>
  <c r="B142" s="1"/>
  <c r="C142" s="1"/>
  <c r="A139"/>
  <c r="A137"/>
  <c r="A131"/>
  <c r="B131" s="1"/>
  <c r="C131" s="1"/>
  <c r="A132"/>
  <c r="B132" s="1"/>
  <c r="D132" s="1"/>
  <c r="A133"/>
  <c r="B133" s="1"/>
  <c r="C133" s="1"/>
  <c r="A130"/>
  <c r="B130" s="1"/>
  <c r="C130" s="1"/>
  <c r="A128"/>
  <c r="A122"/>
  <c r="B122" s="1"/>
  <c r="D122" s="1"/>
  <c r="A123"/>
  <c r="B123" s="1"/>
  <c r="D123" s="1"/>
  <c r="A124"/>
  <c r="B124" s="1"/>
  <c r="C124" s="1"/>
  <c r="A121"/>
  <c r="B121" s="1"/>
  <c r="C121" s="1"/>
  <c r="A119"/>
  <c r="A113"/>
  <c r="B113" s="1"/>
  <c r="A114"/>
  <c r="B114" s="1"/>
  <c r="D114" s="1"/>
  <c r="A115"/>
  <c r="B115" s="1"/>
  <c r="C115" s="1"/>
  <c r="A112"/>
  <c r="B112" s="1"/>
  <c r="A110"/>
  <c r="A104"/>
  <c r="A105"/>
  <c r="B105" s="1"/>
  <c r="D105" s="1"/>
  <c r="A106"/>
  <c r="D103"/>
  <c r="A101"/>
  <c r="A95"/>
  <c r="B95" s="1"/>
  <c r="D95" s="1"/>
  <c r="A96"/>
  <c r="B96" s="1"/>
  <c r="D96" s="1"/>
  <c r="A97"/>
  <c r="B97" s="1"/>
  <c r="C97" s="1"/>
  <c r="A94"/>
  <c r="B94" s="1"/>
  <c r="C94" s="1"/>
  <c r="A92"/>
  <c r="A86"/>
  <c r="B86" s="1"/>
  <c r="C86" s="1"/>
  <c r="A87"/>
  <c r="B87" s="1"/>
  <c r="D87" s="1"/>
  <c r="A88"/>
  <c r="B88" s="1"/>
  <c r="C88" s="1"/>
  <c r="A85"/>
  <c r="B85" s="1"/>
  <c r="C85" s="1"/>
  <c r="A83"/>
  <c r="A77"/>
  <c r="A78"/>
  <c r="B78" s="1"/>
  <c r="C78" s="1"/>
  <c r="A79"/>
  <c r="A76"/>
  <c r="B76" s="1"/>
  <c r="D76" s="1"/>
  <c r="A74"/>
  <c r="A68"/>
  <c r="B68" s="1"/>
  <c r="D68" s="1"/>
  <c r="A69"/>
  <c r="B69" s="1"/>
  <c r="A67"/>
  <c r="B67" s="1"/>
  <c r="D67" s="1"/>
  <c r="A65"/>
  <c r="A59"/>
  <c r="B59" s="1"/>
  <c r="D59" s="1"/>
  <c r="A60"/>
  <c r="B60" s="1"/>
  <c r="D60" s="1"/>
  <c r="A61"/>
  <c r="B61" s="1"/>
  <c r="C61" s="1"/>
  <c r="A58"/>
  <c r="B58" s="1"/>
  <c r="D58" s="1"/>
  <c r="A56"/>
  <c r="A50"/>
  <c r="B50" s="1"/>
  <c r="D50" s="1"/>
  <c r="A51"/>
  <c r="B51" s="1"/>
  <c r="D51" s="1"/>
  <c r="A52"/>
  <c r="B52" s="1"/>
  <c r="C52" s="1"/>
  <c r="A49"/>
  <c r="B49" s="1"/>
  <c r="D49" s="1"/>
  <c r="A47"/>
  <c r="A41"/>
  <c r="B41" s="1"/>
  <c r="C41" s="1"/>
  <c r="A42"/>
  <c r="B42" s="1"/>
  <c r="D42" s="1"/>
  <c r="A43"/>
  <c r="B43" s="1"/>
  <c r="A40"/>
  <c r="B40" s="1"/>
  <c r="C40" s="1"/>
  <c r="A38"/>
  <c r="A32"/>
  <c r="B32" s="1"/>
  <c r="C32" s="1"/>
  <c r="A34"/>
  <c r="B34" s="1"/>
  <c r="C34" s="1"/>
  <c r="A31"/>
  <c r="B31" s="1"/>
  <c r="C31" s="1"/>
  <c r="A29"/>
  <c r="A22"/>
  <c r="B22" s="1"/>
  <c r="D22" s="1"/>
  <c r="A24"/>
  <c r="B24" s="1"/>
  <c r="C24" s="1"/>
  <c r="A21"/>
  <c r="B21" s="1"/>
  <c r="C21" s="1"/>
  <c r="A19"/>
  <c r="A13"/>
  <c r="B13" s="1"/>
  <c r="D13" s="1"/>
  <c r="A15"/>
  <c r="B15" s="1"/>
  <c r="C15" s="1"/>
  <c r="A12"/>
  <c r="B12" s="1"/>
  <c r="C12" s="1"/>
  <c r="A10"/>
  <c r="A1"/>
  <c r="B3"/>
  <c r="B4"/>
  <c r="B5"/>
  <c r="B6"/>
  <c r="B2"/>
  <c r="A3"/>
  <c r="A4"/>
  <c r="A5"/>
  <c r="A6"/>
  <c r="A2"/>
  <c r="C33" i="5" l="1"/>
  <c r="C112" i="3"/>
  <c r="D112"/>
  <c r="C113"/>
  <c r="D113"/>
  <c r="C432"/>
  <c r="D432"/>
  <c r="C431"/>
  <c r="D431"/>
  <c r="C441"/>
  <c r="D441"/>
  <c r="C414"/>
  <c r="D414"/>
  <c r="C422"/>
  <c r="D422"/>
  <c r="C368"/>
  <c r="D368"/>
  <c r="C380"/>
  <c r="D380"/>
  <c r="C388"/>
  <c r="D388"/>
  <c r="C379"/>
  <c r="D379"/>
  <c r="C390"/>
  <c r="D390"/>
  <c r="C369"/>
  <c r="D369"/>
  <c r="C360"/>
  <c r="D360"/>
  <c r="C358"/>
  <c r="D358"/>
  <c r="B37" i="5"/>
  <c r="C29"/>
  <c r="C37" s="1"/>
  <c r="D29"/>
  <c r="D37" s="1"/>
  <c r="C69" i="3"/>
  <c r="D69"/>
  <c r="C58"/>
  <c r="C50"/>
  <c r="C49"/>
  <c r="D98" i="5"/>
  <c r="C263"/>
  <c r="C143"/>
  <c r="C53"/>
  <c r="D278"/>
  <c r="D143"/>
  <c r="D353"/>
  <c r="D158"/>
  <c r="D218"/>
  <c r="D428"/>
  <c r="C308"/>
  <c r="D233"/>
  <c r="D593"/>
  <c r="C203"/>
  <c r="C83"/>
  <c r="C113"/>
  <c r="D938"/>
  <c r="D638"/>
  <c r="D668"/>
  <c r="C22"/>
  <c r="C368"/>
  <c r="D578"/>
  <c r="D698"/>
  <c r="D818"/>
  <c r="C908"/>
  <c r="D83"/>
  <c r="C173"/>
  <c r="C413"/>
  <c r="C98"/>
  <c r="C293"/>
  <c r="D113"/>
  <c r="C428"/>
  <c r="C548"/>
  <c r="C233"/>
  <c r="C218"/>
  <c r="C818"/>
  <c r="C893"/>
  <c r="C158"/>
  <c r="C923"/>
  <c r="D128"/>
  <c r="D788"/>
  <c r="D758"/>
  <c r="D413"/>
  <c r="C728"/>
  <c r="D308"/>
  <c r="C188"/>
  <c r="C668"/>
  <c r="C743"/>
  <c r="C398"/>
  <c r="C248"/>
  <c r="C698"/>
  <c r="D908"/>
  <c r="D848"/>
  <c r="C623"/>
  <c r="C758"/>
  <c r="D518"/>
  <c r="C458"/>
  <c r="D338"/>
  <c r="D263"/>
  <c r="D22"/>
  <c r="C878"/>
  <c r="C383"/>
  <c r="C68"/>
  <c r="C353"/>
  <c r="D293"/>
  <c r="D173"/>
  <c r="D53"/>
  <c r="D608"/>
  <c r="D488"/>
  <c r="D533"/>
  <c r="C863"/>
  <c r="C578"/>
  <c r="C803"/>
  <c r="D203"/>
  <c r="D563"/>
  <c r="C323"/>
  <c r="C128"/>
  <c r="D443"/>
  <c r="C773"/>
  <c r="D833"/>
  <c r="D623"/>
  <c r="D728"/>
  <c r="D68"/>
  <c r="D473"/>
  <c r="C278"/>
  <c r="C848"/>
  <c r="D863"/>
  <c r="C713"/>
  <c r="D398"/>
  <c r="C563"/>
  <c r="C593"/>
  <c r="C833"/>
  <c r="C503"/>
  <c r="D683"/>
  <c r="D368"/>
  <c r="D458"/>
  <c r="D923"/>
  <c r="C518"/>
  <c r="C788"/>
  <c r="D743"/>
  <c r="C443"/>
  <c r="C653"/>
  <c r="C533"/>
  <c r="D773"/>
  <c r="C938"/>
  <c r="D893"/>
  <c r="D548"/>
  <c r="D503"/>
  <c r="C473"/>
  <c r="C683"/>
  <c r="C338"/>
  <c r="D878"/>
  <c r="D383"/>
  <c r="D188"/>
  <c r="D803"/>
  <c r="C608"/>
  <c r="C488"/>
  <c r="D653"/>
  <c r="C638"/>
  <c r="D713"/>
  <c r="D323"/>
  <c r="D248"/>
  <c r="C387" i="3"/>
  <c r="B392"/>
  <c r="C421"/>
  <c r="B425"/>
  <c r="C440"/>
  <c r="B443"/>
  <c r="B435"/>
  <c r="B382"/>
  <c r="B407"/>
  <c r="B372"/>
  <c r="C342"/>
  <c r="C357"/>
  <c r="B362"/>
  <c r="C13"/>
  <c r="B413"/>
  <c r="C433"/>
  <c r="C430"/>
  <c r="C423"/>
  <c r="C412"/>
  <c r="C389"/>
  <c r="C378"/>
  <c r="C377"/>
  <c r="C370"/>
  <c r="C367"/>
  <c r="C359"/>
  <c r="C398"/>
  <c r="C397"/>
  <c r="C401"/>
  <c r="C400"/>
  <c r="C399"/>
  <c r="D86"/>
  <c r="D166"/>
  <c r="C166"/>
  <c r="D301"/>
  <c r="D302"/>
  <c r="D293"/>
  <c r="D292"/>
  <c r="D284"/>
  <c r="D275"/>
  <c r="C266"/>
  <c r="D258"/>
  <c r="D256"/>
  <c r="D257"/>
  <c r="D248"/>
  <c r="D247"/>
  <c r="D239"/>
  <c r="D238"/>
  <c r="D231"/>
  <c r="D221"/>
  <c r="D220"/>
  <c r="D212"/>
  <c r="D211"/>
  <c r="D202"/>
  <c r="D203"/>
  <c r="C194"/>
  <c r="D193"/>
  <c r="D184"/>
  <c r="D185"/>
  <c r="D177"/>
  <c r="D167"/>
  <c r="D158"/>
  <c r="D148"/>
  <c r="D149"/>
  <c r="D140"/>
  <c r="D131"/>
  <c r="D130"/>
  <c r="D121"/>
  <c r="C122"/>
  <c r="C103"/>
  <c r="C95"/>
  <c r="D94"/>
  <c r="D85"/>
  <c r="D78"/>
  <c r="C59"/>
  <c r="D41"/>
  <c r="D40"/>
  <c r="D32"/>
  <c r="D31"/>
  <c r="D21"/>
  <c r="C22"/>
  <c r="D12"/>
  <c r="B79"/>
  <c r="B77"/>
  <c r="B139"/>
  <c r="B206"/>
  <c r="C232"/>
  <c r="C230"/>
  <c r="C283"/>
  <c r="B106"/>
  <c r="B104"/>
  <c r="C178"/>
  <c r="C176"/>
  <c r="B278"/>
  <c r="C303"/>
  <c r="B305"/>
  <c r="C294"/>
  <c r="B296"/>
  <c r="C285"/>
  <c r="C276"/>
  <c r="C274"/>
  <c r="C267"/>
  <c r="C265"/>
  <c r="C258"/>
  <c r="C249"/>
  <c r="C240"/>
  <c r="B233"/>
  <c r="C229"/>
  <c r="C222"/>
  <c r="B224"/>
  <c r="C213"/>
  <c r="B215"/>
  <c r="C204"/>
  <c r="C195"/>
  <c r="B197"/>
  <c r="C186"/>
  <c r="B188"/>
  <c r="B179"/>
  <c r="C175"/>
  <c r="C168"/>
  <c r="C159"/>
  <c r="C157"/>
  <c r="B161"/>
  <c r="C150"/>
  <c r="B152"/>
  <c r="C141"/>
  <c r="C132"/>
  <c r="C123"/>
  <c r="C114"/>
  <c r="B116"/>
  <c r="C105"/>
  <c r="C96"/>
  <c r="B98"/>
  <c r="C87"/>
  <c r="B89"/>
  <c r="C76"/>
  <c r="C68"/>
  <c r="C67"/>
  <c r="C60"/>
  <c r="B62"/>
  <c r="C51"/>
  <c r="C43"/>
  <c r="C42"/>
  <c r="B44"/>
  <c r="B35"/>
  <c r="B25"/>
  <c r="B16"/>
  <c r="C413" l="1"/>
  <c r="C416" s="1"/>
  <c r="D413"/>
  <c r="D416" s="1"/>
  <c r="B71"/>
  <c r="D71"/>
  <c r="D443"/>
  <c r="B416"/>
  <c r="C443"/>
  <c r="D392"/>
  <c r="C435"/>
  <c r="D382"/>
  <c r="D407"/>
  <c r="D425"/>
  <c r="C382"/>
  <c r="C425"/>
  <c r="C392"/>
  <c r="C407"/>
  <c r="D435"/>
  <c r="D362"/>
  <c r="C362"/>
  <c r="D372"/>
  <c r="C372"/>
  <c r="D342"/>
  <c r="C16"/>
  <c r="B260"/>
  <c r="C260"/>
  <c r="D16"/>
  <c r="D305"/>
  <c r="D296"/>
  <c r="C278"/>
  <c r="D278"/>
  <c r="C269"/>
  <c r="D269"/>
  <c r="C251"/>
  <c r="D251"/>
  <c r="C242"/>
  <c r="D242"/>
  <c r="B242"/>
  <c r="D233"/>
  <c r="D224"/>
  <c r="D215"/>
  <c r="C206"/>
  <c r="D206"/>
  <c r="D197"/>
  <c r="D188"/>
  <c r="D179"/>
  <c r="C170"/>
  <c r="D170"/>
  <c r="D161"/>
  <c r="D152"/>
  <c r="B143"/>
  <c r="D139"/>
  <c r="D143" s="1"/>
  <c r="C139"/>
  <c r="C143" s="1"/>
  <c r="B134"/>
  <c r="D134"/>
  <c r="C125"/>
  <c r="D125"/>
  <c r="D116"/>
  <c r="C106"/>
  <c r="C104"/>
  <c r="D104"/>
  <c r="D98"/>
  <c r="D89"/>
  <c r="C79"/>
  <c r="C77"/>
  <c r="D77"/>
  <c r="C71"/>
  <c r="D62"/>
  <c r="B53"/>
  <c r="D53"/>
  <c r="D44"/>
  <c r="D35"/>
  <c r="D25"/>
  <c r="C215"/>
  <c r="C89"/>
  <c r="B251"/>
  <c r="B125"/>
  <c r="C197"/>
  <c r="B107"/>
  <c r="C44"/>
  <c r="B170"/>
  <c r="C233"/>
  <c r="B287"/>
  <c r="C53"/>
  <c r="B80"/>
  <c r="B269"/>
  <c r="C296"/>
  <c r="C134"/>
  <c r="C25"/>
  <c r="C35"/>
  <c r="C305"/>
  <c r="C224"/>
  <c r="C188"/>
  <c r="C179"/>
  <c r="C161"/>
  <c r="C152"/>
  <c r="C116"/>
  <c r="C98"/>
  <c r="C62"/>
  <c r="D260" l="1"/>
  <c r="C287"/>
  <c r="D287"/>
  <c r="D107"/>
  <c r="C107"/>
  <c r="C80"/>
  <c r="D80"/>
  <c r="D73" i="11"/>
  <c r="B73"/>
  <c r="D512" i="5"/>
  <c r="C73" i="11"/>
  <c r="D74"/>
  <c r="B74"/>
  <c r="C74"/>
  <c r="B75"/>
  <c r="C75"/>
  <c r="D75"/>
  <c r="B311" i="3"/>
  <c r="D311" s="1"/>
  <c r="B320"/>
  <c r="C320" s="1"/>
  <c r="B330"/>
  <c r="C330" s="1"/>
  <c r="B329"/>
  <c r="C329" s="1"/>
  <c r="B322"/>
  <c r="C322" s="1"/>
  <c r="B321"/>
  <c r="C321" s="1"/>
  <c r="B310"/>
  <c r="C310" s="1"/>
  <c r="B312"/>
  <c r="D312" s="1"/>
  <c r="B313"/>
  <c r="C313" s="1"/>
  <c r="B319"/>
  <c r="B328"/>
  <c r="C328" s="1"/>
  <c r="B331"/>
  <c r="C331" s="1"/>
  <c r="B323" l="1"/>
  <c r="C319"/>
  <c r="C323" s="1"/>
  <c r="D321"/>
  <c r="D329"/>
  <c r="D319"/>
  <c r="D328"/>
  <c r="D320"/>
  <c r="C311"/>
  <c r="C312"/>
  <c r="B314"/>
  <c r="C332"/>
  <c r="B332"/>
  <c r="D310"/>
  <c r="D314" s="1"/>
  <c r="D330"/>
  <c r="D332" l="1"/>
  <c r="D323"/>
  <c r="C314"/>
  <c r="D81" i="11"/>
  <c r="B81"/>
  <c r="C81"/>
  <c r="E81"/>
  <c r="B350" i="3"/>
  <c r="C350" s="1"/>
  <c r="B349"/>
  <c r="C349" s="1"/>
  <c r="B348"/>
  <c r="D348" s="1"/>
  <c r="B351"/>
  <c r="C351" s="1"/>
  <c r="B347"/>
  <c r="B352" l="1"/>
  <c r="D350"/>
  <c r="C347"/>
  <c r="C348"/>
  <c r="D347"/>
  <c r="D349"/>
  <c r="C352" l="1"/>
  <c r="D352"/>
</calcChain>
</file>

<file path=xl/sharedStrings.xml><?xml version="1.0" encoding="utf-8"?>
<sst xmlns="http://schemas.openxmlformats.org/spreadsheetml/2006/main" count="1355" uniqueCount="239">
  <si>
    <t>Quest1</t>
  </si>
  <si>
    <t>Quest2</t>
  </si>
  <si>
    <t>Quest3</t>
  </si>
  <si>
    <t>Quest4</t>
  </si>
  <si>
    <t>Quest5</t>
  </si>
  <si>
    <t>Quest6</t>
  </si>
  <si>
    <t>Quest7</t>
  </si>
  <si>
    <t>Quest8</t>
  </si>
  <si>
    <t>Quest9</t>
  </si>
  <si>
    <t>Quest10</t>
  </si>
  <si>
    <t>Quest11</t>
  </si>
  <si>
    <t>Quest12</t>
  </si>
  <si>
    <t>Quest13</t>
  </si>
  <si>
    <t>Quest14</t>
  </si>
  <si>
    <t>Quest15</t>
  </si>
  <si>
    <t>Quest16</t>
  </si>
  <si>
    <t>Quest17</t>
  </si>
  <si>
    <t>Quest18</t>
  </si>
  <si>
    <t>Quest19</t>
  </si>
  <si>
    <t>Quest20</t>
  </si>
  <si>
    <t>Quest21</t>
  </si>
  <si>
    <t>Quest22</t>
  </si>
  <si>
    <t>Quest23</t>
  </si>
  <si>
    <t>Quest24</t>
  </si>
  <si>
    <t>Quest25</t>
  </si>
  <si>
    <t>Quest26</t>
  </si>
  <si>
    <t>Quest27</t>
  </si>
  <si>
    <t>Quest28</t>
  </si>
  <si>
    <t>Quest29</t>
  </si>
  <si>
    <t>Quest30</t>
  </si>
  <si>
    <t>Quest31</t>
  </si>
  <si>
    <t>Quest32</t>
  </si>
  <si>
    <t>Quest33</t>
  </si>
  <si>
    <t>Quest34</t>
  </si>
  <si>
    <t>Quest35</t>
  </si>
  <si>
    <t>Not answered</t>
  </si>
  <si>
    <t>Date</t>
  </si>
  <si>
    <t>Frequency</t>
  </si>
  <si>
    <t>%</t>
  </si>
  <si>
    <t>Total</t>
  </si>
  <si>
    <t>Valid Percent</t>
  </si>
  <si>
    <t>Quest36</t>
  </si>
  <si>
    <t>Quest37</t>
  </si>
  <si>
    <t>Quest38</t>
  </si>
  <si>
    <t>Quest39</t>
  </si>
  <si>
    <t>Quest40</t>
  </si>
  <si>
    <t>Quest41</t>
  </si>
  <si>
    <t>Quest42</t>
  </si>
  <si>
    <t>Quest43</t>
  </si>
  <si>
    <t>Quest44</t>
  </si>
  <si>
    <t>Quest45</t>
  </si>
  <si>
    <t>Quest46</t>
  </si>
  <si>
    <t>Quest47</t>
  </si>
  <si>
    <t>Quest48</t>
  </si>
  <si>
    <t>Quest49</t>
  </si>
  <si>
    <t>Quest50</t>
  </si>
  <si>
    <t>Quest51</t>
  </si>
  <si>
    <t>Quest52</t>
  </si>
  <si>
    <t>Quest53</t>
  </si>
  <si>
    <t>Quest54</t>
  </si>
  <si>
    <t>Quest55</t>
  </si>
  <si>
    <t>Quest56</t>
  </si>
  <si>
    <t>Quest57</t>
  </si>
  <si>
    <t>Quest58</t>
  </si>
  <si>
    <t>Quest59</t>
  </si>
  <si>
    <t>Quest60</t>
  </si>
  <si>
    <t>Quest61</t>
  </si>
  <si>
    <t>Quest62</t>
  </si>
  <si>
    <t>Quest63</t>
  </si>
  <si>
    <t>Quest64</t>
  </si>
  <si>
    <t>Quest65</t>
  </si>
  <si>
    <t>Quest66</t>
  </si>
  <si>
    <t>Quest67</t>
  </si>
  <si>
    <t>Quest68</t>
  </si>
  <si>
    <t>Quest69</t>
  </si>
  <si>
    <t>Quest70</t>
  </si>
  <si>
    <t>No  in this category who answered survey</t>
  </si>
  <si>
    <t>Less than 65</t>
  </si>
  <si>
    <t>In the excel tool tab fill in the following in the space provided:</t>
  </si>
  <si>
    <t>Column49</t>
  </si>
  <si>
    <t>Column50</t>
  </si>
  <si>
    <t>Type out your Question</t>
  </si>
  <si>
    <t>Possible answer 1</t>
  </si>
  <si>
    <t>Possible answer 2</t>
  </si>
  <si>
    <t>Possible answer 3</t>
  </si>
  <si>
    <t>Possible answer 4</t>
  </si>
  <si>
    <t>Possible answer 5</t>
  </si>
  <si>
    <t>Possible answer 6</t>
  </si>
  <si>
    <t>Possible answer 7</t>
  </si>
  <si>
    <t>Possible answer 8</t>
  </si>
  <si>
    <t>Possible answer 9</t>
  </si>
  <si>
    <t>Question49</t>
  </si>
  <si>
    <t>Question50</t>
  </si>
  <si>
    <t>Question51</t>
  </si>
  <si>
    <t>Question52</t>
  </si>
  <si>
    <t>Question53</t>
  </si>
  <si>
    <t>Question54</t>
  </si>
  <si>
    <t>Question55</t>
  </si>
  <si>
    <t>Question56</t>
  </si>
  <si>
    <t>Question57</t>
  </si>
  <si>
    <t>Question58</t>
  </si>
  <si>
    <t>Question59</t>
  </si>
  <si>
    <t>Question60</t>
  </si>
  <si>
    <t>Question61</t>
  </si>
  <si>
    <t>Question62</t>
  </si>
  <si>
    <t>Question63</t>
  </si>
  <si>
    <t>Question64</t>
  </si>
  <si>
    <t>Question65</t>
  </si>
  <si>
    <t>Question66</t>
  </si>
  <si>
    <t>Question67</t>
  </si>
  <si>
    <t>Question68</t>
  </si>
  <si>
    <t>Question69</t>
  </si>
  <si>
    <t>Question70</t>
  </si>
  <si>
    <t>Condition A</t>
  </si>
  <si>
    <t xml:space="preserve">How comfortable is your centre? </t>
  </si>
  <si>
    <t xml:space="preserve">How warm is your centre? </t>
  </si>
  <si>
    <t>Your access to shared areas where you can spend time with other residents or visitors?</t>
  </si>
  <si>
    <t>Your access to a garden or outdoor area?</t>
  </si>
  <si>
    <t>Your bedroom?</t>
  </si>
  <si>
    <t>The amount of space you have for your belongings?</t>
  </si>
  <si>
    <t>The security of your belongings?</t>
  </si>
  <si>
    <t>Your laundry facilities?</t>
  </si>
  <si>
    <t>Taste of the food?</t>
  </si>
  <si>
    <t>Choice of food?</t>
  </si>
  <si>
    <t>Amount of food?</t>
  </si>
  <si>
    <t>Temperature of the food?</t>
  </si>
  <si>
    <t>Times the meals are served?</t>
  </si>
  <si>
    <t>Amount of time you get to eat your meal?</t>
  </si>
  <si>
    <t>Access to drinks and snacks outside of mealtimes?</t>
  </si>
  <si>
    <t>Arrangements for grocery shopping?</t>
  </si>
  <si>
    <t>Cooking and dining facilities available?</t>
  </si>
  <si>
    <t>The arrangements for visitors?</t>
  </si>
  <si>
    <t>The welcome your visitors get from staff?</t>
  </si>
  <si>
    <t>What time to get up?</t>
  </si>
  <si>
    <t>When you go to bed?</t>
  </si>
  <si>
    <t>What you eat?</t>
  </si>
  <si>
    <t>What you wear?</t>
  </si>
  <si>
    <t>The activities you take part in?</t>
  </si>
  <si>
    <t>The care and support you receive?</t>
  </si>
  <si>
    <t>The amount of privacy you have?</t>
  </si>
  <si>
    <t>How your respect and dignity is protected?</t>
  </si>
  <si>
    <t>How safe you feel?</t>
  </si>
  <si>
    <t>Your relationships with other residents?</t>
  </si>
  <si>
    <t xml:space="preserve">Your involvement in deciding on the activities in your centre? </t>
  </si>
  <si>
    <t xml:space="preserve">How often you go outside your centre? </t>
  </si>
  <si>
    <t xml:space="preserve">Your participation in the wider community outside your centre? </t>
  </si>
  <si>
    <t>Are easy to talk to?</t>
  </si>
  <si>
    <t>Listen to you?</t>
  </si>
  <si>
    <t>Know your likes and dislikes?</t>
  </si>
  <si>
    <t>Getting dressed?</t>
  </si>
  <si>
    <t>Washing?</t>
  </si>
  <si>
    <t>Eating or drinking?</t>
  </si>
  <si>
    <t>Moving about?</t>
  </si>
  <si>
    <t xml:space="preserve">Taking part in social and recreational activities inside your centre? </t>
  </si>
  <si>
    <t xml:space="preserve">Taking part in activities outside your centre?  </t>
  </si>
  <si>
    <t>Who would you speak with if you were unhappy with something in your Centre</t>
  </si>
  <si>
    <t>Were you happy with the way your complaint was dealt with?</t>
  </si>
  <si>
    <t xml:space="preserve">Person completing this form </t>
  </si>
  <si>
    <t>Would you like the PIC  to contact you to discuss anything in this questionnaire</t>
  </si>
  <si>
    <t>Happy</t>
  </si>
  <si>
    <t>Yes</t>
  </si>
  <si>
    <t>Staff member</t>
  </si>
  <si>
    <t>Resident</t>
  </si>
  <si>
    <t>Neutral</t>
  </si>
  <si>
    <t>No</t>
  </si>
  <si>
    <t>Family member or friend</t>
  </si>
  <si>
    <t>Relative or friend</t>
  </si>
  <si>
    <t>Unhappy</t>
  </si>
  <si>
    <t>Don't know</t>
  </si>
  <si>
    <t>Not applicable to me</t>
  </si>
  <si>
    <t>.</t>
  </si>
  <si>
    <t>Ombudsman</t>
  </si>
  <si>
    <t>Other</t>
  </si>
  <si>
    <t>Confidential Recipient</t>
  </si>
  <si>
    <t>Independent Advocate</t>
  </si>
  <si>
    <t>Complaints Officer</t>
  </si>
  <si>
    <t>Disability Manager</t>
  </si>
  <si>
    <t>Residents Survey Experience</t>
  </si>
  <si>
    <t>CHO</t>
  </si>
  <si>
    <t>Designated Centre</t>
  </si>
  <si>
    <t>OSV No.</t>
  </si>
  <si>
    <t>No in Survey</t>
  </si>
  <si>
    <t>Survey No</t>
  </si>
  <si>
    <t>Is there anything about your centre or surroundings that you especially like or that you would like to change?</t>
  </si>
  <si>
    <t>Is there anything about your food or the times that meals are served that you especially like or that you would like to change?</t>
  </si>
  <si>
    <t>Is there anything about the arrangements for your visitors that you particularly like or that you would like to change?</t>
  </si>
  <si>
    <t>In general, are you happy with the amount of choice and control you
have in your daily life? Is there anything you would like to change?</t>
  </si>
  <si>
    <t>What recreational or social activities do you enjoy in your centre?</t>
  </si>
  <si>
    <t>Are there any other activities that you’d like to take part in or are there any activities you would like to take part in more often?
What recreational, social, or other activities do you take part in outside your centre (for example, in the community)?</t>
  </si>
  <si>
    <t>Do you feel you are getting the supports you need to allow you to achieve your goals and objectives?</t>
  </si>
  <si>
    <t>Is there anything else you would like to say about the staff or staffing in your centre?</t>
  </si>
  <si>
    <t>What was it about the way your complaint was dealt with that made you happy or unhappy?</t>
  </si>
  <si>
    <t>Is there anything else you want to tell us about your experience of the centre?</t>
  </si>
  <si>
    <t xml:space="preserve"> </t>
  </si>
  <si>
    <t>Your Centre - How happy are you with:</t>
  </si>
  <si>
    <t>Your Bedroom - How happy are you with:</t>
  </si>
  <si>
    <t>Food and Mealtimes - How happy are you with:</t>
  </si>
  <si>
    <t>Your Visitors - How happy are you with:</t>
  </si>
  <si>
    <t>Your Rights - How happy are you with the amount of choice you have about:</t>
  </si>
  <si>
    <t>Your Activities - How happy are you with:</t>
  </si>
  <si>
    <t>Your Care and Supports</t>
  </si>
  <si>
    <t>Staff - How happy are you that staff:</t>
  </si>
  <si>
    <t>Complaints</t>
  </si>
  <si>
    <t>Your Visitors - How happy are you with</t>
  </si>
  <si>
    <t>Quarter 2 2018</t>
  </si>
  <si>
    <t xml:space="preserve">CHO: </t>
  </si>
  <si>
    <t>Designated Centre:</t>
  </si>
  <si>
    <t xml:space="preserve">OSV number: </t>
  </si>
  <si>
    <t>Date of Survey (This could be month and year only):</t>
  </si>
  <si>
    <t xml:space="preserve">Firstly, assign each questionaire with a number which will ensure information can be collected confidentially on this tool, then: </t>
  </si>
  <si>
    <t>Fill in the number of people included in the survey in the yellow box (b6), e.g. If you have 10 people, type in 10</t>
  </si>
  <si>
    <t>The survey name, CHO, Designated Centre, OSV no and date of survey will automatically appear on the Overall Results tab (page) and the comments tab(page)</t>
  </si>
  <si>
    <t>Start filling in your answers using the dropdown box</t>
  </si>
  <si>
    <t>Once the dropdown menu has been used once,  you can then just use the first initial, so for example, if neutral is the option, excel will recognise n as nertral</t>
  </si>
  <si>
    <r>
      <t xml:space="preserve">If a question is left blank, select </t>
    </r>
    <r>
      <rPr>
        <i/>
        <sz val="10"/>
        <rFont val="Arial"/>
        <family val="2"/>
      </rPr>
      <t>Not Answered</t>
    </r>
    <r>
      <rPr>
        <sz val="10"/>
        <rFont val="Arial"/>
        <family val="2"/>
      </rPr>
      <t>. NB: Every question should have an answer. The results will be based on the number surveyed so it will only calculate correctly if everything has an answer</t>
    </r>
  </si>
  <si>
    <t>Survey Tool Page</t>
  </si>
  <si>
    <t>Note: The Survey Tool page contains formulas, therefore is protected so changes cannot be made to it.</t>
  </si>
  <si>
    <t>Everry time you make a new entry, enter the next number in column A. So if you entered data for 4 people then enter 5 in the next row in column A and the table will extend</t>
  </si>
  <si>
    <t xml:space="preserve">Overall Results page: </t>
  </si>
  <si>
    <t>The results page will calculate the results for all the people surveyed. This is done automatically  and is displayed in tables</t>
  </si>
  <si>
    <t xml:space="preserve">Graphs page: </t>
  </si>
  <si>
    <t xml:space="preserve">Comments Page: </t>
  </si>
  <si>
    <t xml:space="preserve">Any comments contained in the individual questionaires should be included here. It is not necessary to identify which questionaire it came from but please note the question number it relates to </t>
  </si>
  <si>
    <t xml:space="preserve">- Now: </t>
  </si>
  <si>
    <t>No of Residents</t>
  </si>
  <si>
    <t>UnHappy</t>
  </si>
  <si>
    <t>Have you a Personal plan?</t>
  </si>
  <si>
    <t>Staff -  How happy are you with the support you get from staff when you are:</t>
  </si>
  <si>
    <t>Column1</t>
  </si>
  <si>
    <t>Your Personal Plan:</t>
  </si>
  <si>
    <t>I don't know</t>
  </si>
  <si>
    <t xml:space="preserve">Please note: do not put in any resident or staff names into this survey. Question re Complaints - it is the job title only that should be included </t>
  </si>
  <si>
    <t>Fill in the number of people living in the centre</t>
  </si>
  <si>
    <t>I do not need support</t>
  </si>
  <si>
    <t>Complaints:</t>
  </si>
  <si>
    <t>Have you ever made a complaint about something in your Centre?</t>
  </si>
  <si>
    <t>Have you a Personal Plan?</t>
  </si>
  <si>
    <t>The results are all displayed on graphs which can be printed off separately to the overal results if required (best printed in colour)</t>
  </si>
  <si>
    <t xml:space="preserve">Instructions for using the Residential Services - Survey analysis tool: </t>
  </si>
</sst>
</file>

<file path=xl/styles.xml><?xml version="1.0" encoding="utf-8"?>
<styleSheet xmlns="http://schemas.openxmlformats.org/spreadsheetml/2006/main">
  <numFmts count="1">
    <numFmt numFmtId="164" formatCode="0.0"/>
  </numFmts>
  <fonts count="9">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i/>
      <sz val="10"/>
      <name val="Arial"/>
      <family val="2"/>
    </font>
    <font>
      <sz val="10"/>
      <color theme="1"/>
      <name val="Arial"/>
      <family val="2"/>
    </font>
    <font>
      <sz val="11"/>
      <name val="Calibri"/>
      <family val="2"/>
      <scheme val="minor"/>
    </font>
  </fonts>
  <fills count="4">
    <fill>
      <patternFill patternType="none"/>
    </fill>
    <fill>
      <patternFill patternType="gray125"/>
    </fill>
    <fill>
      <patternFill patternType="solid">
        <fgColor rgb="FF99CC0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0" xfId="0" applyBorder="1" applyAlignment="1">
      <alignment wrapText="1"/>
    </xf>
    <xf numFmtId="0" fontId="0" fillId="0" borderId="1" xfId="0" applyBorder="1"/>
    <xf numFmtId="0" fontId="1" fillId="0" borderId="1" xfId="0" applyFont="1" applyBorder="1" applyAlignment="1">
      <alignment wrapText="1"/>
    </xf>
    <xf numFmtId="0" fontId="0" fillId="0" borderId="1" xfId="0"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0" fillId="0" borderId="0" xfId="0" applyBorder="1"/>
    <xf numFmtId="164" fontId="0" fillId="0" borderId="0" xfId="0" applyNumberFormat="1"/>
    <xf numFmtId="164" fontId="0" fillId="0" borderId="1" xfId="0" applyNumberFormat="1" applyBorder="1"/>
    <xf numFmtId="164" fontId="0" fillId="0" borderId="0" xfId="0" applyNumberFormat="1" applyBorder="1"/>
    <xf numFmtId="0" fontId="3" fillId="0" borderId="0" xfId="0" applyFont="1" applyAlignment="1">
      <alignment wrapText="1"/>
    </xf>
    <xf numFmtId="0" fontId="4" fillId="0" borderId="0" xfId="0" applyFont="1" applyAlignment="1">
      <alignment wrapText="1"/>
    </xf>
    <xf numFmtId="0" fontId="5" fillId="0" borderId="1" xfId="0" applyFont="1" applyFill="1" applyBorder="1" applyAlignment="1">
      <alignment horizontal="center" vertical="center" wrapText="1"/>
    </xf>
    <xf numFmtId="0" fontId="1" fillId="0" borderId="0" xfId="0" applyFont="1" applyAlignment="1">
      <alignment wrapText="1"/>
    </xf>
    <xf numFmtId="0" fontId="0" fillId="0" borderId="0" xfId="0" applyFont="1" applyAlignment="1">
      <alignment vertical="top"/>
    </xf>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0" fillId="0" borderId="1" xfId="0" applyBorder="1" applyAlignment="1">
      <alignment wrapText="1"/>
    </xf>
    <xf numFmtId="0" fontId="7" fillId="0" borderId="0" xfId="0" applyFont="1"/>
    <xf numFmtId="0" fontId="1" fillId="0" borderId="0" xfId="0" quotePrefix="1" applyFont="1" applyAlignment="1">
      <alignment wrapText="1"/>
    </xf>
    <xf numFmtId="0" fontId="1" fillId="0" borderId="0" xfId="0" applyFont="1" applyBorder="1" applyAlignment="1">
      <alignment wrapText="1"/>
    </xf>
    <xf numFmtId="0" fontId="1" fillId="0" borderId="0" xfId="0" applyFont="1" applyBorder="1" applyAlignment="1">
      <alignment wrapText="1"/>
    </xf>
    <xf numFmtId="164" fontId="1" fillId="0" borderId="0" xfId="0" applyNumberFormat="1" applyFont="1" applyBorder="1" applyAlignment="1">
      <alignment horizontal="center"/>
    </xf>
    <xf numFmtId="164" fontId="0" fillId="0" borderId="0" xfId="0" applyNumberFormat="1" applyBorder="1" applyAlignment="1"/>
    <xf numFmtId="164" fontId="1" fillId="0" borderId="1" xfId="0" applyNumberFormat="1" applyFont="1" applyBorder="1" applyAlignment="1">
      <alignment horizontal="center"/>
    </xf>
    <xf numFmtId="0" fontId="0" fillId="0" borderId="0" xfId="0" applyFont="1"/>
    <xf numFmtId="0" fontId="0" fillId="0" borderId="1" xfId="0" applyFont="1" applyFill="1" applyBorder="1" applyAlignment="1">
      <alignment vertical="top" wrapText="1"/>
    </xf>
    <xf numFmtId="164" fontId="0" fillId="0" borderId="1" xfId="0" applyNumberFormat="1" applyFont="1" applyBorder="1" applyAlignment="1">
      <alignment horizontal="center"/>
    </xf>
    <xf numFmtId="0" fontId="0" fillId="0" borderId="1" xfId="0" applyFont="1" applyBorder="1" applyAlignment="1">
      <alignment wrapText="1"/>
    </xf>
    <xf numFmtId="164" fontId="0" fillId="0" borderId="5" xfId="0" applyNumberFormat="1" applyFont="1" applyBorder="1" applyAlignment="1">
      <alignment horizontal="center"/>
    </xf>
    <xf numFmtId="0" fontId="1" fillId="0" borderId="6" xfId="0" applyFont="1" applyBorder="1" applyAlignment="1">
      <alignment wrapText="1"/>
    </xf>
    <xf numFmtId="164" fontId="1" fillId="0" borderId="1" xfId="0" applyNumberFormat="1" applyFont="1" applyFill="1" applyBorder="1" applyAlignment="1">
      <alignment horizontal="center" wrapText="1"/>
    </xf>
    <xf numFmtId="164" fontId="1" fillId="0" borderId="5" xfId="0" applyNumberFormat="1" applyFont="1" applyBorder="1" applyAlignment="1">
      <alignment horizontal="center"/>
    </xf>
    <xf numFmtId="0" fontId="0" fillId="0" borderId="0" xfId="0" applyFont="1" applyAlignment="1">
      <alignment vertical="top" wrapText="1"/>
    </xf>
    <xf numFmtId="164" fontId="1" fillId="0" borderId="1" xfId="0" applyNumberFormat="1" applyFont="1" applyBorder="1" applyAlignment="1">
      <alignment horizontal="center" wrapText="1"/>
    </xf>
    <xf numFmtId="0" fontId="8" fillId="0" borderId="0" xfId="0" applyFont="1" applyAlignment="1">
      <alignment wrapText="1"/>
    </xf>
    <xf numFmtId="0" fontId="1" fillId="2" borderId="2" xfId="0" applyFont="1" applyFill="1" applyBorder="1" applyAlignment="1">
      <alignment vertical="center"/>
    </xf>
    <xf numFmtId="0" fontId="1" fillId="0" borderId="1" xfId="0" applyFont="1" applyBorder="1" applyAlignment="1">
      <alignment horizontal="left" vertical="center" wrapText="1"/>
    </xf>
    <xf numFmtId="0" fontId="1" fillId="0" borderId="3" xfId="0" applyFont="1"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wrapText="1"/>
    </xf>
    <xf numFmtId="0" fontId="0" fillId="0" borderId="5" xfId="0" applyBorder="1" applyAlignment="1">
      <alignment horizontal="center" vertical="center"/>
    </xf>
    <xf numFmtId="17" fontId="1" fillId="0" borderId="3" xfId="0" applyNumberFormat="1"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0" fillId="0" borderId="4" xfId="0" applyBorder="1" applyAlignment="1">
      <alignment horizontal="center" wrapText="1"/>
    </xf>
    <xf numFmtId="0" fontId="5" fillId="0" borderId="1" xfId="0" applyFont="1" applyFill="1" applyBorder="1" applyAlignment="1">
      <alignment horizontal="center" vertical="top" wrapText="1"/>
    </xf>
    <xf numFmtId="0" fontId="0" fillId="0" borderId="1" xfId="0" applyBorder="1" applyAlignment="1">
      <alignment horizont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0" borderId="5" xfId="0" applyBorder="1" applyAlignment="1"/>
    <xf numFmtId="0" fontId="1" fillId="0" borderId="1" xfId="0" applyFont="1" applyBorder="1" applyAlignment="1">
      <alignment horizontal="center" wrapText="1"/>
    </xf>
    <xf numFmtId="0" fontId="0" fillId="0" borderId="1" xfId="0" applyBorder="1" applyAlignment="1"/>
    <xf numFmtId="0" fontId="0" fillId="0" borderId="2" xfId="0" applyBorder="1" applyAlignment="1">
      <alignment horizontal="center"/>
    </xf>
    <xf numFmtId="0" fontId="1" fillId="0" borderId="5" xfId="0" applyFont="1" applyBorder="1" applyAlignment="1">
      <alignment horizontal="center" wrapText="1"/>
    </xf>
    <xf numFmtId="0" fontId="0" fillId="0" borderId="5" xfId="0" applyBorder="1" applyAlignment="1">
      <alignment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0" xfId="0" applyFont="1" applyFill="1" applyBorder="1" applyAlignment="1">
      <alignment horizontal="center"/>
    </xf>
    <xf numFmtId="0" fontId="0" fillId="0" borderId="0" xfId="0" applyAlignment="1"/>
    <xf numFmtId="17" fontId="1" fillId="0" borderId="1" xfId="0" applyNumberFormat="1" applyFont="1" applyBorder="1" applyAlignment="1">
      <alignment horizontal="center"/>
    </xf>
    <xf numFmtId="17" fontId="0" fillId="0" borderId="1" xfId="0" applyNumberFormat="1" applyBorder="1" applyAlignment="1"/>
    <xf numFmtId="0" fontId="1" fillId="0" borderId="0" xfId="0" applyFont="1" applyBorder="1" applyAlignment="1">
      <alignment wrapText="1"/>
    </xf>
    <xf numFmtId="0" fontId="1" fillId="0" borderId="2" xfId="0" applyFont="1" applyBorder="1" applyAlignment="1">
      <alignment wrapText="1"/>
    </xf>
    <xf numFmtId="0" fontId="0" fillId="0" borderId="2" xfId="0" applyBorder="1" applyAlignment="1">
      <alignment wrapText="1"/>
    </xf>
    <xf numFmtId="0" fontId="0" fillId="0" borderId="4" xfId="0" applyBorder="1" applyAlignment="1"/>
    <xf numFmtId="0" fontId="0" fillId="0" borderId="1" xfId="0" applyBorder="1" applyAlignment="1">
      <alignment wrapText="1"/>
    </xf>
    <xf numFmtId="0" fontId="0" fillId="0" borderId="3" xfId="0" applyFont="1" applyBorder="1" applyAlignment="1">
      <alignment horizontal="center"/>
    </xf>
    <xf numFmtId="0" fontId="0" fillId="0" borderId="4" xfId="0" applyFont="1" applyBorder="1" applyAlignment="1"/>
    <xf numFmtId="0" fontId="0" fillId="0" borderId="5" xfId="0" applyFont="1" applyBorder="1" applyAlignment="1"/>
    <xf numFmtId="0" fontId="1" fillId="0" borderId="4" xfId="0" applyFont="1" applyBorder="1" applyAlignment="1"/>
    <xf numFmtId="0" fontId="1" fillId="0" borderId="5" xfId="0" applyFont="1" applyBorder="1" applyAlignment="1"/>
  </cellXfs>
  <cellStyles count="1">
    <cellStyle name="Normal" xfId="0" builtinId="0"/>
  </cellStyles>
  <dxfs count="115">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numFmt numFmtId="164" formatCode="0.0"/>
      <alignment horizontal="general" vertical="bottom" textRotation="0" wrapText="1" indent="0" relativeIndent="255" justifyLastLine="0" shrinkToFit="0" readingOrder="0"/>
    </dxf>
    <dxf>
      <numFmt numFmtId="164" formatCode="0.0"/>
      <alignment horizontal="general" vertical="bottom" textRotation="0" wrapText="1" indent="0" relativeIndent="255" justifyLastLine="0" shrinkToFit="0" readingOrder="0"/>
    </dxf>
    <dxf>
      <numFmt numFmtId="164" formatCode="0.0"/>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vertical="bottom" textRotation="0" wrapText="1" justifyLastLine="0" shrinkToFit="0" readingOrder="0"/>
    </dxf>
    <dxf>
      <font>
        <strike val="0"/>
        <outline val="0"/>
        <shadow val="0"/>
        <u val="none"/>
        <vertAlign val="baseline"/>
        <sz val="11"/>
        <color theme="1"/>
        <name val="Calibri"/>
        <scheme val="minor"/>
      </font>
      <alignment horizontal="general" vertical="top" textRotation="0" wrapText="1" indent="0" relativeIndent="255"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
      <alignment horizontal="general" vertical="bottom" textRotation="0" wrapText="1" indent="0" relativeIndent="0" justifyLastLine="0" shrinkToFit="0" readingOrder="0"/>
    </dxf>
  </dxfs>
  <tableStyles count="0" defaultTableStyle="TableStyleMedium9" defaultPivotStyle="PivotStyleLight16"/>
  <colors>
    <mruColors>
      <color rgb="FFFFFF99"/>
      <color rgb="FFFFFFCC"/>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title>
      <c:tx>
        <c:strRef>
          <c:f>OverallResults!$A$10</c:f>
          <c:strCache>
            <c:ptCount val="1"/>
            <c:pt idx="0">
              <c:v>How comfortable is your centre? </c:v>
            </c:pt>
          </c:strCache>
        </c:strRef>
      </c:tx>
    </c:title>
    <c:plotArea>
      <c:layout/>
      <c:barChart>
        <c:barDir val="col"/>
        <c:grouping val="clustered"/>
        <c:ser>
          <c:idx val="1"/>
          <c:order val="0"/>
          <c:dLbls>
            <c:showVal val="1"/>
          </c:dLbls>
          <c:cat>
            <c:strRef>
              <c:f>OverallResults!$A$12:$A$14</c:f>
              <c:strCache>
                <c:ptCount val="3"/>
                <c:pt idx="0">
                  <c:v>Happy</c:v>
                </c:pt>
                <c:pt idx="1">
                  <c:v>Neutral</c:v>
                </c:pt>
                <c:pt idx="2">
                  <c:v>Unhappy</c:v>
                </c:pt>
              </c:strCache>
            </c:strRef>
          </c:cat>
          <c:val>
            <c:numRef>
              <c:f>OverallResults!$D$12:$D$14</c:f>
              <c:numCache>
                <c:formatCode>0.0</c:formatCode>
                <c:ptCount val="3"/>
                <c:pt idx="0">
                  <c:v>0</c:v>
                </c:pt>
                <c:pt idx="1">
                  <c:v>0</c:v>
                </c:pt>
                <c:pt idx="2">
                  <c:v>0</c:v>
                </c:pt>
              </c:numCache>
            </c:numRef>
          </c:val>
        </c:ser>
        <c:axId val="73127040"/>
        <c:axId val="73128576"/>
      </c:barChart>
      <c:catAx>
        <c:axId val="73127040"/>
        <c:scaling>
          <c:orientation val="minMax"/>
        </c:scaling>
        <c:axPos val="b"/>
        <c:numFmt formatCode="General" sourceLinked="1"/>
        <c:majorTickMark val="none"/>
        <c:tickLblPos val="nextTo"/>
        <c:crossAx val="73128576"/>
        <c:crosses val="autoZero"/>
        <c:auto val="1"/>
        <c:lblAlgn val="ctr"/>
        <c:lblOffset val="100"/>
      </c:catAx>
      <c:valAx>
        <c:axId val="73128576"/>
        <c:scaling>
          <c:orientation val="minMax"/>
          <c:max val="100"/>
        </c:scaling>
        <c:axPos val="l"/>
        <c:majorGridlines/>
        <c:numFmt formatCode="0.0" sourceLinked="1"/>
        <c:majorTickMark val="none"/>
        <c:tickLblPos val="nextTo"/>
        <c:crossAx val="73127040"/>
        <c:crosses val="autoZero"/>
        <c:crossBetween val="between"/>
      </c:valAx>
    </c:plotArea>
    <c:plotVisOnly val="1"/>
    <c:dispBlanksAs val="gap"/>
  </c:chart>
  <c:printSettings>
    <c:headerFooter/>
    <c:pageMargins b="0.750000000000004" l="0.70000000000000062" r="0.70000000000000062" t="0.750000000000004"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E"/>
  <c:chart>
    <c:title>
      <c:tx>
        <c:strRef>
          <c:f>OverallResults!$A$92</c:f>
          <c:strCache>
            <c:ptCount val="1"/>
            <c:pt idx="0">
              <c:v>Choice of food?</c:v>
            </c:pt>
          </c:strCache>
        </c:strRef>
      </c:tx>
    </c:title>
    <c:plotArea>
      <c:layout/>
      <c:barChart>
        <c:barDir val="col"/>
        <c:grouping val="clustered"/>
        <c:ser>
          <c:idx val="0"/>
          <c:order val="0"/>
          <c:dLbls>
            <c:showVal val="1"/>
          </c:dLbls>
          <c:cat>
            <c:strRef>
              <c:f>OverallResults!$A$94:$A$96</c:f>
              <c:strCache>
                <c:ptCount val="3"/>
                <c:pt idx="0">
                  <c:v>Happy</c:v>
                </c:pt>
                <c:pt idx="1">
                  <c:v>Neutral</c:v>
                </c:pt>
                <c:pt idx="2">
                  <c:v>Unhappy</c:v>
                </c:pt>
              </c:strCache>
            </c:strRef>
          </c:cat>
          <c:val>
            <c:numRef>
              <c:f>OverallResults!$D$94:$D$96</c:f>
              <c:numCache>
                <c:formatCode>0.0</c:formatCode>
                <c:ptCount val="3"/>
                <c:pt idx="0">
                  <c:v>0</c:v>
                </c:pt>
                <c:pt idx="1">
                  <c:v>0</c:v>
                </c:pt>
                <c:pt idx="2">
                  <c:v>0</c:v>
                </c:pt>
              </c:numCache>
            </c:numRef>
          </c:val>
        </c:ser>
        <c:axId val="74939776"/>
        <c:axId val="74945664"/>
      </c:barChart>
      <c:catAx>
        <c:axId val="74939776"/>
        <c:scaling>
          <c:orientation val="minMax"/>
        </c:scaling>
        <c:axPos val="b"/>
        <c:numFmt formatCode="General" sourceLinked="1"/>
        <c:majorTickMark val="none"/>
        <c:tickLblPos val="nextTo"/>
        <c:crossAx val="74945664"/>
        <c:crosses val="autoZero"/>
        <c:auto val="1"/>
        <c:lblAlgn val="ctr"/>
        <c:lblOffset val="100"/>
      </c:catAx>
      <c:valAx>
        <c:axId val="74945664"/>
        <c:scaling>
          <c:orientation val="minMax"/>
          <c:max val="100"/>
        </c:scaling>
        <c:axPos val="l"/>
        <c:majorGridlines/>
        <c:numFmt formatCode="0.0" sourceLinked="1"/>
        <c:majorTickMark val="none"/>
        <c:tickLblPos val="nextTo"/>
        <c:crossAx val="74939776"/>
        <c:crosses val="autoZero"/>
        <c:crossBetween val="between"/>
      </c:valAx>
    </c:plotArea>
    <c:plotVisOnly val="1"/>
    <c:dispBlanksAs val="gap"/>
  </c:chart>
  <c:printSettings>
    <c:headerFooter/>
    <c:pageMargins b="0.750000000000006" l="0.70000000000000062" r="0.70000000000000062" t="0.750000000000006"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IE"/>
  <c:chart>
    <c:title>
      <c:tx>
        <c:strRef>
          <c:f>'Condition A'!$A$596</c:f>
          <c:strCache>
            <c:ptCount val="1"/>
            <c:pt idx="0">
              <c:v>Moving about?</c:v>
            </c:pt>
          </c:strCache>
        </c:strRef>
      </c:tx>
    </c:title>
    <c:plotArea>
      <c:layout/>
      <c:barChart>
        <c:barDir val="col"/>
        <c:grouping val="clustered"/>
        <c:ser>
          <c:idx val="0"/>
          <c:order val="0"/>
          <c:dLbls>
            <c:showVal val="1"/>
          </c:dLbls>
          <c:cat>
            <c:strRef>
              <c:f>'Condition A'!$A$598:$A$606</c:f>
              <c:strCache>
                <c:ptCount val="9"/>
                <c:pt idx="0">
                  <c:v>Happy</c:v>
                </c:pt>
                <c:pt idx="1">
                  <c:v>Neutral</c:v>
                </c:pt>
                <c:pt idx="2">
                  <c:v>Unhappy</c:v>
                </c:pt>
                <c:pt idx="3">
                  <c:v>I do not need support</c:v>
                </c:pt>
                <c:pt idx="4">
                  <c:v>.</c:v>
                </c:pt>
                <c:pt idx="5">
                  <c:v>.</c:v>
                </c:pt>
                <c:pt idx="6">
                  <c:v>.</c:v>
                </c:pt>
                <c:pt idx="7">
                  <c:v>.</c:v>
                </c:pt>
                <c:pt idx="8">
                  <c:v>.</c:v>
                </c:pt>
              </c:strCache>
            </c:strRef>
          </c:cat>
          <c:val>
            <c:numRef>
              <c:f>'Condition A'!$D$598:$D$606</c:f>
              <c:numCache>
                <c:formatCode>0.0</c:formatCode>
                <c:ptCount val="9"/>
                <c:pt idx="0">
                  <c:v>0</c:v>
                </c:pt>
                <c:pt idx="1">
                  <c:v>0</c:v>
                </c:pt>
                <c:pt idx="2">
                  <c:v>0</c:v>
                </c:pt>
                <c:pt idx="3">
                  <c:v>0</c:v>
                </c:pt>
                <c:pt idx="4">
                  <c:v>0</c:v>
                </c:pt>
                <c:pt idx="5">
                  <c:v>0</c:v>
                </c:pt>
                <c:pt idx="6">
                  <c:v>0</c:v>
                </c:pt>
                <c:pt idx="7">
                  <c:v>0</c:v>
                </c:pt>
                <c:pt idx="8">
                  <c:v>0</c:v>
                </c:pt>
              </c:numCache>
            </c:numRef>
          </c:val>
        </c:ser>
        <c:axId val="86770816"/>
        <c:axId val="86772352"/>
      </c:barChart>
      <c:catAx>
        <c:axId val="86770816"/>
        <c:scaling>
          <c:orientation val="minMax"/>
        </c:scaling>
        <c:axPos val="b"/>
        <c:numFmt formatCode="General" sourceLinked="1"/>
        <c:majorTickMark val="none"/>
        <c:tickLblPos val="nextTo"/>
        <c:crossAx val="86772352"/>
        <c:crosses val="autoZero"/>
        <c:auto val="1"/>
        <c:lblAlgn val="ctr"/>
        <c:lblOffset val="100"/>
      </c:catAx>
      <c:valAx>
        <c:axId val="86772352"/>
        <c:scaling>
          <c:orientation val="minMax"/>
          <c:max val="100"/>
        </c:scaling>
        <c:axPos val="l"/>
        <c:majorGridlines/>
        <c:numFmt formatCode="0.0" sourceLinked="1"/>
        <c:majorTickMark val="none"/>
        <c:tickLblPos val="nextTo"/>
        <c:crossAx val="86770816"/>
        <c:crosses val="autoZero"/>
        <c:crossBetween val="between"/>
      </c:valAx>
    </c:plotArea>
    <c:plotVisOnly val="1"/>
    <c:dispBlanksAs val="gap"/>
  </c:chart>
  <c:printSettings>
    <c:headerFooter/>
    <c:pageMargins b="0.75000000000001221" l="0.70000000000000062" r="0.70000000000000062" t="0.75000000000001221"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IE"/>
  <c:chart>
    <c:title>
      <c:tx>
        <c:strRef>
          <c:f>'Condition A'!$A$611</c:f>
          <c:strCache>
            <c:ptCount val="1"/>
            <c:pt idx="0">
              <c:v>Taking part in social and recreational activities inside your centre? </c:v>
            </c:pt>
          </c:strCache>
        </c:strRef>
      </c:tx>
    </c:title>
    <c:plotArea>
      <c:layout/>
      <c:barChart>
        <c:barDir val="col"/>
        <c:grouping val="clustered"/>
        <c:ser>
          <c:idx val="0"/>
          <c:order val="0"/>
          <c:dLbls>
            <c:showVal val="1"/>
          </c:dLbls>
          <c:cat>
            <c:strRef>
              <c:f>'Condition A'!$A$613:$A$621</c:f>
              <c:strCache>
                <c:ptCount val="9"/>
                <c:pt idx="0">
                  <c:v>Happy</c:v>
                </c:pt>
                <c:pt idx="1">
                  <c:v>Neutral</c:v>
                </c:pt>
                <c:pt idx="2">
                  <c:v>Unhappy</c:v>
                </c:pt>
                <c:pt idx="3">
                  <c:v>I do not need support</c:v>
                </c:pt>
                <c:pt idx="4">
                  <c:v>.</c:v>
                </c:pt>
                <c:pt idx="5">
                  <c:v>.</c:v>
                </c:pt>
                <c:pt idx="6">
                  <c:v>.</c:v>
                </c:pt>
                <c:pt idx="7">
                  <c:v>.</c:v>
                </c:pt>
                <c:pt idx="8">
                  <c:v>.</c:v>
                </c:pt>
              </c:strCache>
            </c:strRef>
          </c:cat>
          <c:val>
            <c:numRef>
              <c:f>'Condition A'!$D$613:$D$621</c:f>
              <c:numCache>
                <c:formatCode>0.0</c:formatCode>
                <c:ptCount val="9"/>
                <c:pt idx="0">
                  <c:v>0</c:v>
                </c:pt>
                <c:pt idx="1">
                  <c:v>0</c:v>
                </c:pt>
                <c:pt idx="2">
                  <c:v>0</c:v>
                </c:pt>
                <c:pt idx="3">
                  <c:v>0</c:v>
                </c:pt>
                <c:pt idx="4">
                  <c:v>0</c:v>
                </c:pt>
                <c:pt idx="5">
                  <c:v>0</c:v>
                </c:pt>
                <c:pt idx="6">
                  <c:v>0</c:v>
                </c:pt>
                <c:pt idx="7">
                  <c:v>0</c:v>
                </c:pt>
                <c:pt idx="8">
                  <c:v>0</c:v>
                </c:pt>
              </c:numCache>
            </c:numRef>
          </c:val>
        </c:ser>
        <c:axId val="86784256"/>
        <c:axId val="86818816"/>
      </c:barChart>
      <c:catAx>
        <c:axId val="86784256"/>
        <c:scaling>
          <c:orientation val="minMax"/>
        </c:scaling>
        <c:axPos val="b"/>
        <c:numFmt formatCode="General" sourceLinked="1"/>
        <c:majorTickMark val="none"/>
        <c:tickLblPos val="nextTo"/>
        <c:crossAx val="86818816"/>
        <c:crosses val="autoZero"/>
        <c:auto val="1"/>
        <c:lblAlgn val="ctr"/>
        <c:lblOffset val="100"/>
      </c:catAx>
      <c:valAx>
        <c:axId val="86818816"/>
        <c:scaling>
          <c:orientation val="minMax"/>
          <c:max val="100"/>
        </c:scaling>
        <c:axPos val="l"/>
        <c:majorGridlines/>
        <c:numFmt formatCode="0.0" sourceLinked="1"/>
        <c:majorTickMark val="none"/>
        <c:tickLblPos val="nextTo"/>
        <c:crossAx val="86784256"/>
        <c:crosses val="autoZero"/>
        <c:crossBetween val="between"/>
      </c:valAx>
    </c:plotArea>
    <c:plotVisOnly val="1"/>
    <c:dispBlanksAs val="gap"/>
  </c:chart>
  <c:printSettings>
    <c:headerFooter/>
    <c:pageMargins b="0.75000000000001243" l="0.70000000000000062" r="0.70000000000000062" t="0.75000000000001243"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IE"/>
  <c:chart>
    <c:title>
      <c:tx>
        <c:strRef>
          <c:f>'Condition A'!$A$626</c:f>
          <c:strCache>
            <c:ptCount val="1"/>
            <c:pt idx="0">
              <c:v>Taking part in activities outside your centre?  </c:v>
            </c:pt>
          </c:strCache>
        </c:strRef>
      </c:tx>
    </c:title>
    <c:plotArea>
      <c:layout/>
      <c:barChart>
        <c:barDir val="col"/>
        <c:grouping val="clustered"/>
        <c:ser>
          <c:idx val="0"/>
          <c:order val="0"/>
          <c:dLbls>
            <c:showVal val="1"/>
          </c:dLbls>
          <c:cat>
            <c:strRef>
              <c:f>'Condition A'!$A$628:$A$636</c:f>
              <c:strCache>
                <c:ptCount val="9"/>
                <c:pt idx="0">
                  <c:v>Happy</c:v>
                </c:pt>
                <c:pt idx="1">
                  <c:v>Neutral</c:v>
                </c:pt>
                <c:pt idx="2">
                  <c:v>Unhappy</c:v>
                </c:pt>
                <c:pt idx="3">
                  <c:v>I do not need support</c:v>
                </c:pt>
                <c:pt idx="4">
                  <c:v>.</c:v>
                </c:pt>
                <c:pt idx="5">
                  <c:v>.</c:v>
                </c:pt>
                <c:pt idx="6">
                  <c:v>.</c:v>
                </c:pt>
                <c:pt idx="7">
                  <c:v>.</c:v>
                </c:pt>
                <c:pt idx="8">
                  <c:v>.</c:v>
                </c:pt>
              </c:strCache>
            </c:strRef>
          </c:cat>
          <c:val>
            <c:numRef>
              <c:f>'Condition A'!$D$628:$D$636</c:f>
              <c:numCache>
                <c:formatCode>0.0</c:formatCode>
                <c:ptCount val="9"/>
                <c:pt idx="0">
                  <c:v>0</c:v>
                </c:pt>
                <c:pt idx="1">
                  <c:v>0</c:v>
                </c:pt>
                <c:pt idx="2">
                  <c:v>0</c:v>
                </c:pt>
                <c:pt idx="3">
                  <c:v>0</c:v>
                </c:pt>
                <c:pt idx="4">
                  <c:v>0</c:v>
                </c:pt>
                <c:pt idx="5">
                  <c:v>0</c:v>
                </c:pt>
                <c:pt idx="6">
                  <c:v>0</c:v>
                </c:pt>
                <c:pt idx="7">
                  <c:v>0</c:v>
                </c:pt>
                <c:pt idx="8">
                  <c:v>0</c:v>
                </c:pt>
              </c:numCache>
            </c:numRef>
          </c:val>
        </c:ser>
        <c:axId val="86830464"/>
        <c:axId val="91382912"/>
      </c:barChart>
      <c:catAx>
        <c:axId val="86830464"/>
        <c:scaling>
          <c:orientation val="minMax"/>
        </c:scaling>
        <c:axPos val="b"/>
        <c:numFmt formatCode="General" sourceLinked="1"/>
        <c:majorTickMark val="none"/>
        <c:tickLblPos val="nextTo"/>
        <c:crossAx val="91382912"/>
        <c:crosses val="autoZero"/>
        <c:auto val="1"/>
        <c:lblAlgn val="ctr"/>
        <c:lblOffset val="100"/>
      </c:catAx>
      <c:valAx>
        <c:axId val="91382912"/>
        <c:scaling>
          <c:orientation val="minMax"/>
          <c:max val="100"/>
        </c:scaling>
        <c:axPos val="l"/>
        <c:majorGridlines/>
        <c:numFmt formatCode="0.0" sourceLinked="1"/>
        <c:majorTickMark val="none"/>
        <c:tickLblPos val="nextTo"/>
        <c:crossAx val="86830464"/>
        <c:crosses val="autoZero"/>
        <c:crossBetween val="between"/>
      </c:valAx>
    </c:plotArea>
    <c:plotVisOnly val="1"/>
    <c:dispBlanksAs val="gap"/>
  </c:chart>
  <c:printSettings>
    <c:headerFooter/>
    <c:pageMargins b="0.75000000000001266" l="0.70000000000000062" r="0.70000000000000062" t="0.75000000000001266"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IE"/>
  <c:chart>
    <c:title>
      <c:tx>
        <c:strRef>
          <c:f>'Condition A'!$A$641</c:f>
          <c:strCache>
            <c:ptCount val="1"/>
            <c:pt idx="0">
              <c:v>Who would you speak with if you were unhappy with something in your Centre</c:v>
            </c:pt>
          </c:strCache>
        </c:strRef>
      </c:tx>
    </c:title>
    <c:plotArea>
      <c:layout/>
      <c:barChart>
        <c:barDir val="col"/>
        <c:grouping val="clustered"/>
        <c:ser>
          <c:idx val="0"/>
          <c:order val="0"/>
          <c:dLbls>
            <c:showVal val="1"/>
          </c:dLbls>
          <c:cat>
            <c:strRef>
              <c:f>'Condition A'!$A$643:$A$651</c:f>
              <c:strCache>
                <c:ptCount val="9"/>
                <c:pt idx="0">
                  <c:v>Staff member</c:v>
                </c:pt>
                <c:pt idx="1">
                  <c:v>Family member or friend</c:v>
                </c:pt>
                <c:pt idx="2">
                  <c:v>Don't know</c:v>
                </c:pt>
                <c:pt idx="3">
                  <c:v>Ombudsman</c:v>
                </c:pt>
                <c:pt idx="4">
                  <c:v>Confidential Recipient</c:v>
                </c:pt>
                <c:pt idx="5">
                  <c:v>Independent Advocate</c:v>
                </c:pt>
                <c:pt idx="6">
                  <c:v>Complaints Officer</c:v>
                </c:pt>
                <c:pt idx="7">
                  <c:v>Disability Manager</c:v>
                </c:pt>
                <c:pt idx="8">
                  <c:v>Not applicable to me</c:v>
                </c:pt>
              </c:strCache>
            </c:strRef>
          </c:cat>
          <c:val>
            <c:numRef>
              <c:f>'Condition A'!$D$643:$D$651</c:f>
              <c:numCache>
                <c:formatCode>0.0</c:formatCode>
                <c:ptCount val="9"/>
                <c:pt idx="0">
                  <c:v>0</c:v>
                </c:pt>
                <c:pt idx="1">
                  <c:v>0</c:v>
                </c:pt>
                <c:pt idx="2">
                  <c:v>0</c:v>
                </c:pt>
                <c:pt idx="3">
                  <c:v>0</c:v>
                </c:pt>
                <c:pt idx="4">
                  <c:v>0</c:v>
                </c:pt>
                <c:pt idx="5">
                  <c:v>0</c:v>
                </c:pt>
                <c:pt idx="6">
                  <c:v>0</c:v>
                </c:pt>
                <c:pt idx="7">
                  <c:v>0</c:v>
                </c:pt>
                <c:pt idx="8">
                  <c:v>0</c:v>
                </c:pt>
              </c:numCache>
            </c:numRef>
          </c:val>
        </c:ser>
        <c:axId val="91292416"/>
        <c:axId val="91293952"/>
      </c:barChart>
      <c:catAx>
        <c:axId val="91292416"/>
        <c:scaling>
          <c:orientation val="minMax"/>
        </c:scaling>
        <c:axPos val="b"/>
        <c:numFmt formatCode="General" sourceLinked="1"/>
        <c:majorTickMark val="none"/>
        <c:tickLblPos val="nextTo"/>
        <c:crossAx val="91293952"/>
        <c:crosses val="autoZero"/>
        <c:auto val="1"/>
        <c:lblAlgn val="ctr"/>
        <c:lblOffset val="100"/>
      </c:catAx>
      <c:valAx>
        <c:axId val="91293952"/>
        <c:scaling>
          <c:orientation val="minMax"/>
          <c:max val="100"/>
        </c:scaling>
        <c:axPos val="l"/>
        <c:majorGridlines/>
        <c:numFmt formatCode="0.0" sourceLinked="1"/>
        <c:majorTickMark val="none"/>
        <c:tickLblPos val="nextTo"/>
        <c:crossAx val="91292416"/>
        <c:crosses val="autoZero"/>
        <c:crossBetween val="between"/>
      </c:valAx>
    </c:plotArea>
    <c:plotVisOnly val="1"/>
    <c:dispBlanksAs val="gap"/>
  </c:chart>
  <c:printSettings>
    <c:headerFooter/>
    <c:pageMargins b="0.75000000000001288" l="0.70000000000000062" r="0.70000000000000062" t="0.75000000000001288"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IE"/>
  <c:chart>
    <c:title>
      <c:tx>
        <c:strRef>
          <c:f>'Condition A'!$A$656</c:f>
          <c:strCache>
            <c:ptCount val="1"/>
            <c:pt idx="0">
              <c:v>Have you ever made a complaint about something in your Centre?</c:v>
            </c:pt>
          </c:strCache>
        </c:strRef>
      </c:tx>
    </c:title>
    <c:plotArea>
      <c:layout/>
      <c:barChart>
        <c:barDir val="col"/>
        <c:grouping val="clustered"/>
        <c:ser>
          <c:idx val="0"/>
          <c:order val="0"/>
          <c:dLbls>
            <c:showVal val="1"/>
          </c:dLbls>
          <c:cat>
            <c:strRef>
              <c:f>'Condition A'!$A$658:$A$666</c:f>
              <c:strCache>
                <c:ptCount val="9"/>
                <c:pt idx="0">
                  <c:v>Yes</c:v>
                </c:pt>
                <c:pt idx="1">
                  <c:v>No</c:v>
                </c:pt>
                <c:pt idx="2">
                  <c:v>Not applicable to me</c:v>
                </c:pt>
                <c:pt idx="3">
                  <c:v>0</c:v>
                </c:pt>
                <c:pt idx="4">
                  <c:v>0</c:v>
                </c:pt>
                <c:pt idx="5">
                  <c:v>0</c:v>
                </c:pt>
                <c:pt idx="6">
                  <c:v>.</c:v>
                </c:pt>
                <c:pt idx="7">
                  <c:v>.</c:v>
                </c:pt>
                <c:pt idx="8">
                  <c:v>.</c:v>
                </c:pt>
              </c:strCache>
            </c:strRef>
          </c:cat>
          <c:val>
            <c:numRef>
              <c:f>'Condition A'!$D$658:$D$666</c:f>
              <c:numCache>
                <c:formatCode>0.0</c:formatCode>
                <c:ptCount val="9"/>
                <c:pt idx="0">
                  <c:v>0</c:v>
                </c:pt>
                <c:pt idx="1">
                  <c:v>0</c:v>
                </c:pt>
                <c:pt idx="2">
                  <c:v>0</c:v>
                </c:pt>
                <c:pt idx="3">
                  <c:v>0</c:v>
                </c:pt>
                <c:pt idx="4">
                  <c:v>0</c:v>
                </c:pt>
                <c:pt idx="5">
                  <c:v>0</c:v>
                </c:pt>
                <c:pt idx="6">
                  <c:v>0</c:v>
                </c:pt>
                <c:pt idx="7">
                  <c:v>0</c:v>
                </c:pt>
                <c:pt idx="8">
                  <c:v>0</c:v>
                </c:pt>
              </c:numCache>
            </c:numRef>
          </c:val>
        </c:ser>
        <c:axId val="91310336"/>
        <c:axId val="91316224"/>
      </c:barChart>
      <c:catAx>
        <c:axId val="91310336"/>
        <c:scaling>
          <c:orientation val="minMax"/>
        </c:scaling>
        <c:axPos val="b"/>
        <c:numFmt formatCode="General" sourceLinked="1"/>
        <c:majorTickMark val="none"/>
        <c:tickLblPos val="nextTo"/>
        <c:crossAx val="91316224"/>
        <c:crosses val="autoZero"/>
        <c:auto val="1"/>
        <c:lblAlgn val="ctr"/>
        <c:lblOffset val="100"/>
      </c:catAx>
      <c:valAx>
        <c:axId val="91316224"/>
        <c:scaling>
          <c:orientation val="minMax"/>
          <c:max val="100"/>
        </c:scaling>
        <c:axPos val="l"/>
        <c:majorGridlines/>
        <c:numFmt formatCode="0.0" sourceLinked="1"/>
        <c:majorTickMark val="none"/>
        <c:tickLblPos val="nextTo"/>
        <c:crossAx val="91310336"/>
        <c:crosses val="autoZero"/>
        <c:crossBetween val="between"/>
      </c:valAx>
    </c:plotArea>
    <c:plotVisOnly val="1"/>
    <c:dispBlanksAs val="gap"/>
  </c:chart>
  <c:printSettings>
    <c:headerFooter/>
    <c:pageMargins b="0.7500000000000131" l="0.70000000000000062" r="0.70000000000000062" t="0.7500000000000131"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IE"/>
  <c:chart>
    <c:title>
      <c:tx>
        <c:strRef>
          <c:f>'Condition A'!$A$671</c:f>
          <c:strCache>
            <c:ptCount val="1"/>
            <c:pt idx="0">
              <c:v>Were you happy with the way your complaint was dealt with?</c:v>
            </c:pt>
          </c:strCache>
        </c:strRef>
      </c:tx>
    </c:title>
    <c:plotArea>
      <c:layout/>
      <c:barChart>
        <c:barDir val="col"/>
        <c:grouping val="clustered"/>
        <c:ser>
          <c:idx val="0"/>
          <c:order val="0"/>
          <c:dLbls>
            <c:showVal val="1"/>
          </c:dLbls>
          <c:cat>
            <c:strRef>
              <c:f>'Condition A'!$A$673:$A$681</c:f>
              <c:strCache>
                <c:ptCount val="9"/>
                <c:pt idx="0">
                  <c:v>Yes</c:v>
                </c:pt>
                <c:pt idx="1">
                  <c:v>No</c:v>
                </c:pt>
                <c:pt idx="2">
                  <c:v>Not applicable to me</c:v>
                </c:pt>
                <c:pt idx="3">
                  <c:v>0</c:v>
                </c:pt>
                <c:pt idx="4">
                  <c:v>0</c:v>
                </c:pt>
                <c:pt idx="5">
                  <c:v>0</c:v>
                </c:pt>
                <c:pt idx="6">
                  <c:v>.</c:v>
                </c:pt>
                <c:pt idx="7">
                  <c:v>.</c:v>
                </c:pt>
                <c:pt idx="8">
                  <c:v>.</c:v>
                </c:pt>
              </c:strCache>
            </c:strRef>
          </c:cat>
          <c:val>
            <c:numRef>
              <c:f>'Condition A'!$D$673:$D$681</c:f>
              <c:numCache>
                <c:formatCode>0.0</c:formatCode>
                <c:ptCount val="9"/>
                <c:pt idx="0">
                  <c:v>0</c:v>
                </c:pt>
                <c:pt idx="1">
                  <c:v>0</c:v>
                </c:pt>
                <c:pt idx="2">
                  <c:v>0</c:v>
                </c:pt>
                <c:pt idx="3">
                  <c:v>0</c:v>
                </c:pt>
                <c:pt idx="4">
                  <c:v>0</c:v>
                </c:pt>
                <c:pt idx="5">
                  <c:v>0</c:v>
                </c:pt>
                <c:pt idx="6">
                  <c:v>0</c:v>
                </c:pt>
                <c:pt idx="7">
                  <c:v>0</c:v>
                </c:pt>
                <c:pt idx="8">
                  <c:v>0</c:v>
                </c:pt>
              </c:numCache>
            </c:numRef>
          </c:val>
        </c:ser>
        <c:axId val="91352448"/>
        <c:axId val="91354240"/>
      </c:barChart>
      <c:catAx>
        <c:axId val="91352448"/>
        <c:scaling>
          <c:orientation val="minMax"/>
        </c:scaling>
        <c:axPos val="b"/>
        <c:numFmt formatCode="General" sourceLinked="1"/>
        <c:majorTickMark val="none"/>
        <c:tickLblPos val="nextTo"/>
        <c:crossAx val="91354240"/>
        <c:crosses val="autoZero"/>
        <c:auto val="1"/>
        <c:lblAlgn val="ctr"/>
        <c:lblOffset val="100"/>
      </c:catAx>
      <c:valAx>
        <c:axId val="91354240"/>
        <c:scaling>
          <c:orientation val="minMax"/>
          <c:max val="100"/>
        </c:scaling>
        <c:axPos val="l"/>
        <c:majorGridlines/>
        <c:numFmt formatCode="0.0" sourceLinked="1"/>
        <c:majorTickMark val="none"/>
        <c:tickLblPos val="nextTo"/>
        <c:crossAx val="91352448"/>
        <c:crosses val="autoZero"/>
        <c:crossBetween val="between"/>
      </c:valAx>
    </c:plotArea>
    <c:plotVisOnly val="1"/>
    <c:dispBlanksAs val="gap"/>
  </c:chart>
  <c:printSettings>
    <c:headerFooter/>
    <c:pageMargins b="0.75000000000001332" l="0.70000000000000062" r="0.70000000000000062" t="0.75000000000001332"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IE"/>
  <c:chart>
    <c:title>
      <c:tx>
        <c:strRef>
          <c:f>'Condition A'!$A$686</c:f>
          <c:strCache>
            <c:ptCount val="1"/>
            <c:pt idx="0">
              <c:v>Person completing this form </c:v>
            </c:pt>
          </c:strCache>
        </c:strRef>
      </c:tx>
    </c:title>
    <c:plotArea>
      <c:layout/>
      <c:barChart>
        <c:barDir val="col"/>
        <c:grouping val="clustered"/>
        <c:ser>
          <c:idx val="0"/>
          <c:order val="0"/>
          <c:dLbls>
            <c:showVal val="1"/>
          </c:dLbls>
          <c:cat>
            <c:strRef>
              <c:f>'Condition A'!$A$688:$A$696</c:f>
              <c:strCache>
                <c:ptCount val="9"/>
                <c:pt idx="0">
                  <c:v>Resident</c:v>
                </c:pt>
                <c:pt idx="1">
                  <c:v>Relative or friend</c:v>
                </c:pt>
                <c:pt idx="2">
                  <c:v>Staff member</c:v>
                </c:pt>
                <c:pt idx="3">
                  <c:v>Other</c:v>
                </c:pt>
                <c:pt idx="4">
                  <c:v>.</c:v>
                </c:pt>
                <c:pt idx="5">
                  <c:v>.</c:v>
                </c:pt>
                <c:pt idx="6">
                  <c:v>.</c:v>
                </c:pt>
                <c:pt idx="7">
                  <c:v>.</c:v>
                </c:pt>
                <c:pt idx="8">
                  <c:v>.</c:v>
                </c:pt>
              </c:strCache>
            </c:strRef>
          </c:cat>
          <c:val>
            <c:numRef>
              <c:f>'Condition A'!$D$688:$D$696</c:f>
              <c:numCache>
                <c:formatCode>0.0</c:formatCode>
                <c:ptCount val="9"/>
                <c:pt idx="0">
                  <c:v>0</c:v>
                </c:pt>
                <c:pt idx="1">
                  <c:v>0</c:v>
                </c:pt>
                <c:pt idx="2">
                  <c:v>0</c:v>
                </c:pt>
                <c:pt idx="3">
                  <c:v>0</c:v>
                </c:pt>
                <c:pt idx="4">
                  <c:v>0</c:v>
                </c:pt>
                <c:pt idx="5">
                  <c:v>0</c:v>
                </c:pt>
                <c:pt idx="6">
                  <c:v>0</c:v>
                </c:pt>
                <c:pt idx="7">
                  <c:v>0</c:v>
                </c:pt>
                <c:pt idx="8">
                  <c:v>0</c:v>
                </c:pt>
              </c:numCache>
            </c:numRef>
          </c:val>
        </c:ser>
        <c:axId val="91435776"/>
        <c:axId val="91437312"/>
      </c:barChart>
      <c:catAx>
        <c:axId val="91435776"/>
        <c:scaling>
          <c:orientation val="minMax"/>
        </c:scaling>
        <c:axPos val="b"/>
        <c:numFmt formatCode="General" sourceLinked="1"/>
        <c:majorTickMark val="none"/>
        <c:tickLblPos val="nextTo"/>
        <c:crossAx val="91437312"/>
        <c:crosses val="autoZero"/>
        <c:auto val="1"/>
        <c:lblAlgn val="ctr"/>
        <c:lblOffset val="100"/>
      </c:catAx>
      <c:valAx>
        <c:axId val="91437312"/>
        <c:scaling>
          <c:orientation val="minMax"/>
          <c:max val="100"/>
        </c:scaling>
        <c:axPos val="l"/>
        <c:majorGridlines/>
        <c:numFmt formatCode="0.0" sourceLinked="1"/>
        <c:majorTickMark val="none"/>
        <c:tickLblPos val="nextTo"/>
        <c:crossAx val="91435776"/>
        <c:crosses val="autoZero"/>
        <c:crossBetween val="between"/>
      </c:valAx>
    </c:plotArea>
    <c:plotVisOnly val="1"/>
    <c:dispBlanksAs val="gap"/>
  </c:chart>
  <c:printSettings>
    <c:headerFooter/>
    <c:pageMargins b="0.75000000000001354" l="0.70000000000000062" r="0.70000000000000062" t="0.75000000000001354"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IE"/>
  <c:chart>
    <c:title>
      <c:tx>
        <c:strRef>
          <c:f>'Condition A'!$A$701</c:f>
          <c:strCache>
            <c:ptCount val="1"/>
            <c:pt idx="0">
              <c:v>Would you like the PIC  to contact you to discuss anything in this questionnaire</c:v>
            </c:pt>
          </c:strCache>
        </c:strRef>
      </c:tx>
    </c:title>
    <c:plotArea>
      <c:layout/>
      <c:barChart>
        <c:barDir val="col"/>
        <c:grouping val="clustered"/>
        <c:ser>
          <c:idx val="0"/>
          <c:order val="0"/>
          <c:dLbls>
            <c:showVal val="1"/>
          </c:dLbls>
          <c:cat>
            <c:strRef>
              <c:f>'Condition A'!$A$703:$A$711</c:f>
              <c:strCache>
                <c:ptCount val="9"/>
                <c:pt idx="0">
                  <c:v>Yes</c:v>
                </c:pt>
                <c:pt idx="1">
                  <c:v>No</c:v>
                </c:pt>
                <c:pt idx="2">
                  <c:v>.</c:v>
                </c:pt>
                <c:pt idx="3">
                  <c:v>.</c:v>
                </c:pt>
                <c:pt idx="4">
                  <c:v>.</c:v>
                </c:pt>
                <c:pt idx="5">
                  <c:v>.</c:v>
                </c:pt>
                <c:pt idx="6">
                  <c:v>.</c:v>
                </c:pt>
                <c:pt idx="7">
                  <c:v>.</c:v>
                </c:pt>
                <c:pt idx="8">
                  <c:v>.</c:v>
                </c:pt>
              </c:strCache>
            </c:strRef>
          </c:cat>
          <c:val>
            <c:numRef>
              <c:f>'Condition A'!$D$703:$D$711</c:f>
              <c:numCache>
                <c:formatCode>0.0</c:formatCode>
                <c:ptCount val="9"/>
                <c:pt idx="0">
                  <c:v>0</c:v>
                </c:pt>
                <c:pt idx="1">
                  <c:v>0</c:v>
                </c:pt>
                <c:pt idx="2">
                  <c:v>0</c:v>
                </c:pt>
                <c:pt idx="3">
                  <c:v>0</c:v>
                </c:pt>
                <c:pt idx="4">
                  <c:v>0</c:v>
                </c:pt>
                <c:pt idx="5">
                  <c:v>0</c:v>
                </c:pt>
                <c:pt idx="6">
                  <c:v>0</c:v>
                </c:pt>
                <c:pt idx="7">
                  <c:v>0</c:v>
                </c:pt>
                <c:pt idx="8">
                  <c:v>0</c:v>
                </c:pt>
              </c:numCache>
            </c:numRef>
          </c:val>
        </c:ser>
        <c:axId val="91481600"/>
        <c:axId val="91483136"/>
      </c:barChart>
      <c:catAx>
        <c:axId val="91481600"/>
        <c:scaling>
          <c:orientation val="minMax"/>
        </c:scaling>
        <c:axPos val="b"/>
        <c:numFmt formatCode="General" sourceLinked="1"/>
        <c:majorTickMark val="none"/>
        <c:tickLblPos val="nextTo"/>
        <c:crossAx val="91483136"/>
        <c:crosses val="autoZero"/>
        <c:auto val="1"/>
        <c:lblAlgn val="ctr"/>
        <c:lblOffset val="100"/>
      </c:catAx>
      <c:valAx>
        <c:axId val="91483136"/>
        <c:scaling>
          <c:orientation val="minMax"/>
          <c:max val="100"/>
        </c:scaling>
        <c:axPos val="l"/>
        <c:majorGridlines/>
        <c:numFmt formatCode="0.0" sourceLinked="1"/>
        <c:majorTickMark val="none"/>
        <c:tickLblPos val="nextTo"/>
        <c:crossAx val="91481600"/>
        <c:crosses val="autoZero"/>
        <c:crossBetween val="between"/>
      </c:valAx>
    </c:plotArea>
    <c:plotVisOnly val="1"/>
    <c:dispBlanksAs val="gap"/>
  </c:chart>
  <c:printSettings>
    <c:headerFooter/>
    <c:pageMargins b="0.75000000000001377" l="0.70000000000000062" r="0.70000000000000062" t="0.75000000000001377"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IE"/>
  <c:chart>
    <c:title>
      <c:tx>
        <c:strRef>
          <c:f>'Condition A'!$A$716</c:f>
          <c:strCache>
            <c:ptCount val="1"/>
            <c:pt idx="0">
              <c:v>0</c:v>
            </c:pt>
          </c:strCache>
        </c:strRef>
      </c:tx>
    </c:title>
    <c:plotArea>
      <c:layout/>
      <c:barChart>
        <c:barDir val="col"/>
        <c:grouping val="clustered"/>
        <c:ser>
          <c:idx val="0"/>
          <c:order val="0"/>
          <c:dLbls>
            <c:showVal val="1"/>
          </c:dLbls>
          <c:cat>
            <c:strRef>
              <c:f>'Condition A'!$A$718:$A$726</c:f>
              <c:strCache>
                <c:ptCount val="9"/>
                <c:pt idx="0">
                  <c:v>0</c:v>
                </c:pt>
                <c:pt idx="1">
                  <c:v>0</c:v>
                </c:pt>
                <c:pt idx="2">
                  <c:v>.</c:v>
                </c:pt>
                <c:pt idx="3">
                  <c:v>.</c:v>
                </c:pt>
                <c:pt idx="4">
                  <c:v>.</c:v>
                </c:pt>
                <c:pt idx="5">
                  <c:v>.</c:v>
                </c:pt>
                <c:pt idx="6">
                  <c:v>.</c:v>
                </c:pt>
                <c:pt idx="7">
                  <c:v>.</c:v>
                </c:pt>
                <c:pt idx="8">
                  <c:v>.</c:v>
                </c:pt>
              </c:strCache>
            </c:strRef>
          </c:cat>
          <c:val>
            <c:numRef>
              <c:f>'Condition A'!$D$718:$D$726</c:f>
              <c:numCache>
                <c:formatCode>0.0</c:formatCode>
                <c:ptCount val="9"/>
                <c:pt idx="0">
                  <c:v>0</c:v>
                </c:pt>
                <c:pt idx="1">
                  <c:v>0</c:v>
                </c:pt>
                <c:pt idx="2">
                  <c:v>0</c:v>
                </c:pt>
                <c:pt idx="3">
                  <c:v>0</c:v>
                </c:pt>
                <c:pt idx="4">
                  <c:v>0</c:v>
                </c:pt>
                <c:pt idx="5">
                  <c:v>0</c:v>
                </c:pt>
                <c:pt idx="6">
                  <c:v>0</c:v>
                </c:pt>
                <c:pt idx="7">
                  <c:v>0</c:v>
                </c:pt>
                <c:pt idx="8">
                  <c:v>0</c:v>
                </c:pt>
              </c:numCache>
            </c:numRef>
          </c:val>
        </c:ser>
        <c:axId val="91507328"/>
        <c:axId val="91529600"/>
      </c:barChart>
      <c:catAx>
        <c:axId val="91507328"/>
        <c:scaling>
          <c:orientation val="minMax"/>
        </c:scaling>
        <c:axPos val="b"/>
        <c:numFmt formatCode="General" sourceLinked="1"/>
        <c:majorTickMark val="none"/>
        <c:tickLblPos val="nextTo"/>
        <c:crossAx val="91529600"/>
        <c:crosses val="autoZero"/>
        <c:auto val="1"/>
        <c:lblAlgn val="ctr"/>
        <c:lblOffset val="100"/>
      </c:catAx>
      <c:valAx>
        <c:axId val="91529600"/>
        <c:scaling>
          <c:orientation val="minMax"/>
          <c:max val="100"/>
        </c:scaling>
        <c:axPos val="l"/>
        <c:majorGridlines/>
        <c:numFmt formatCode="0.0" sourceLinked="1"/>
        <c:majorTickMark val="none"/>
        <c:tickLblPos val="nextTo"/>
        <c:crossAx val="91507328"/>
        <c:crosses val="autoZero"/>
        <c:crossBetween val="between"/>
      </c:valAx>
    </c:plotArea>
    <c:plotVisOnly val="1"/>
    <c:dispBlanksAs val="gap"/>
  </c:chart>
  <c:printSettings>
    <c:headerFooter/>
    <c:pageMargins b="0.75000000000001399" l="0.70000000000000062" r="0.70000000000000062" t="0.75000000000001399"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IE"/>
  <c:chart>
    <c:title>
      <c:tx>
        <c:strRef>
          <c:f>'Condition A'!$A$731</c:f>
          <c:strCache>
            <c:ptCount val="1"/>
            <c:pt idx="0">
              <c:v>Question49</c:v>
            </c:pt>
          </c:strCache>
        </c:strRef>
      </c:tx>
    </c:title>
    <c:plotArea>
      <c:layout/>
      <c:barChart>
        <c:barDir val="col"/>
        <c:grouping val="clustered"/>
        <c:ser>
          <c:idx val="0"/>
          <c:order val="0"/>
          <c:dLbls>
            <c:showVal val="1"/>
          </c:dLbls>
          <c:cat>
            <c:numRef>
              <c:f>'Condition A'!$A$733:$A$741</c:f>
              <c:numCache>
                <c:formatCode>General</c:formatCode>
                <c:ptCount val="9"/>
                <c:pt idx="0">
                  <c:v>0</c:v>
                </c:pt>
                <c:pt idx="1">
                  <c:v>0</c:v>
                </c:pt>
                <c:pt idx="2">
                  <c:v>0</c:v>
                </c:pt>
                <c:pt idx="3">
                  <c:v>0</c:v>
                </c:pt>
                <c:pt idx="4">
                  <c:v>0</c:v>
                </c:pt>
                <c:pt idx="5">
                  <c:v>0</c:v>
                </c:pt>
                <c:pt idx="6">
                  <c:v>0</c:v>
                </c:pt>
                <c:pt idx="7">
                  <c:v>0</c:v>
                </c:pt>
                <c:pt idx="8">
                  <c:v>0</c:v>
                </c:pt>
              </c:numCache>
            </c:numRef>
          </c:cat>
          <c:val>
            <c:numRef>
              <c:f>'Condition A'!$D$733:$D$741</c:f>
              <c:numCache>
                <c:formatCode>0.0</c:formatCode>
                <c:ptCount val="9"/>
                <c:pt idx="0">
                  <c:v>0</c:v>
                </c:pt>
                <c:pt idx="1">
                  <c:v>0</c:v>
                </c:pt>
                <c:pt idx="2">
                  <c:v>0</c:v>
                </c:pt>
                <c:pt idx="3">
                  <c:v>0</c:v>
                </c:pt>
                <c:pt idx="4">
                  <c:v>0</c:v>
                </c:pt>
                <c:pt idx="5">
                  <c:v>0</c:v>
                </c:pt>
                <c:pt idx="6">
                  <c:v>0</c:v>
                </c:pt>
                <c:pt idx="7">
                  <c:v>0</c:v>
                </c:pt>
                <c:pt idx="8">
                  <c:v>0</c:v>
                </c:pt>
              </c:numCache>
            </c:numRef>
          </c:val>
        </c:ser>
        <c:axId val="91561984"/>
        <c:axId val="91563520"/>
      </c:barChart>
      <c:catAx>
        <c:axId val="91561984"/>
        <c:scaling>
          <c:orientation val="minMax"/>
        </c:scaling>
        <c:axPos val="b"/>
        <c:numFmt formatCode="General" sourceLinked="1"/>
        <c:majorTickMark val="none"/>
        <c:tickLblPos val="nextTo"/>
        <c:crossAx val="91563520"/>
        <c:crosses val="autoZero"/>
        <c:auto val="1"/>
        <c:lblAlgn val="ctr"/>
        <c:lblOffset val="100"/>
      </c:catAx>
      <c:valAx>
        <c:axId val="91563520"/>
        <c:scaling>
          <c:orientation val="minMax"/>
          <c:max val="100"/>
        </c:scaling>
        <c:axPos val="l"/>
        <c:majorGridlines/>
        <c:numFmt formatCode="0.0" sourceLinked="1"/>
        <c:majorTickMark val="none"/>
        <c:tickLblPos val="nextTo"/>
        <c:crossAx val="91561984"/>
        <c:crosses val="autoZero"/>
        <c:crossBetween val="between"/>
      </c:valAx>
    </c:plotArea>
    <c:plotVisOnly val="1"/>
    <c:dispBlanksAs val="gap"/>
  </c:chart>
  <c:printSettings>
    <c:headerFooter/>
    <c:pageMargins b="0.75000000000001421" l="0.70000000000000062" r="0.70000000000000062" t="0.750000000000014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E"/>
  <c:chart>
    <c:title>
      <c:tx>
        <c:strRef>
          <c:f>OverallResults!$A$101</c:f>
          <c:strCache>
            <c:ptCount val="1"/>
            <c:pt idx="0">
              <c:v>Amount of food?</c:v>
            </c:pt>
          </c:strCache>
        </c:strRef>
      </c:tx>
    </c:title>
    <c:plotArea>
      <c:layout/>
      <c:barChart>
        <c:barDir val="col"/>
        <c:grouping val="clustered"/>
        <c:ser>
          <c:idx val="0"/>
          <c:order val="0"/>
          <c:dLbls>
            <c:showVal val="1"/>
          </c:dLbls>
          <c:cat>
            <c:strRef>
              <c:f>OverallResults!$A$103:$A$105</c:f>
              <c:strCache>
                <c:ptCount val="3"/>
                <c:pt idx="0">
                  <c:v>Happy</c:v>
                </c:pt>
                <c:pt idx="1">
                  <c:v>Neutral</c:v>
                </c:pt>
                <c:pt idx="2">
                  <c:v>Unhappy</c:v>
                </c:pt>
              </c:strCache>
            </c:strRef>
          </c:cat>
          <c:val>
            <c:numRef>
              <c:f>OverallResults!$D$103:$D$105</c:f>
              <c:numCache>
                <c:formatCode>0.0</c:formatCode>
                <c:ptCount val="3"/>
                <c:pt idx="0">
                  <c:v>0</c:v>
                </c:pt>
                <c:pt idx="1">
                  <c:v>0</c:v>
                </c:pt>
                <c:pt idx="2">
                  <c:v>0</c:v>
                </c:pt>
              </c:numCache>
            </c:numRef>
          </c:val>
        </c:ser>
        <c:axId val="75059968"/>
        <c:axId val="75061504"/>
      </c:barChart>
      <c:catAx>
        <c:axId val="75059968"/>
        <c:scaling>
          <c:orientation val="minMax"/>
        </c:scaling>
        <c:axPos val="b"/>
        <c:numFmt formatCode="General" sourceLinked="1"/>
        <c:majorTickMark val="none"/>
        <c:tickLblPos val="nextTo"/>
        <c:crossAx val="75061504"/>
        <c:crosses val="autoZero"/>
        <c:auto val="1"/>
        <c:lblAlgn val="ctr"/>
        <c:lblOffset val="100"/>
      </c:catAx>
      <c:valAx>
        <c:axId val="75061504"/>
        <c:scaling>
          <c:orientation val="minMax"/>
          <c:max val="100"/>
        </c:scaling>
        <c:axPos val="l"/>
        <c:majorGridlines/>
        <c:numFmt formatCode="0.0" sourceLinked="1"/>
        <c:majorTickMark val="none"/>
        <c:tickLblPos val="nextTo"/>
        <c:crossAx val="75059968"/>
        <c:crosses val="autoZero"/>
        <c:crossBetween val="between"/>
      </c:valAx>
    </c:plotArea>
    <c:plotVisOnly val="1"/>
    <c:dispBlanksAs val="gap"/>
  </c:chart>
  <c:printSettings>
    <c:headerFooter/>
    <c:pageMargins b="0.75000000000000622" l="0.70000000000000062" r="0.70000000000000062" t="0.75000000000000622"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IE"/>
  <c:chart>
    <c:title>
      <c:tx>
        <c:strRef>
          <c:f>'Condition A'!$A$746</c:f>
          <c:strCache>
            <c:ptCount val="1"/>
            <c:pt idx="0">
              <c:v>Question50</c:v>
            </c:pt>
          </c:strCache>
        </c:strRef>
      </c:tx>
    </c:title>
    <c:plotArea>
      <c:layout/>
      <c:barChart>
        <c:barDir val="col"/>
        <c:grouping val="clustered"/>
        <c:ser>
          <c:idx val="0"/>
          <c:order val="0"/>
          <c:dLbls>
            <c:showVal val="1"/>
          </c:dLbls>
          <c:cat>
            <c:numRef>
              <c:f>'Condition A'!$A$748:$A$756</c:f>
              <c:numCache>
                <c:formatCode>General</c:formatCode>
                <c:ptCount val="9"/>
                <c:pt idx="0">
                  <c:v>0</c:v>
                </c:pt>
                <c:pt idx="1">
                  <c:v>0</c:v>
                </c:pt>
                <c:pt idx="2">
                  <c:v>0</c:v>
                </c:pt>
                <c:pt idx="3">
                  <c:v>0</c:v>
                </c:pt>
                <c:pt idx="4">
                  <c:v>0</c:v>
                </c:pt>
                <c:pt idx="5">
                  <c:v>0</c:v>
                </c:pt>
                <c:pt idx="6">
                  <c:v>0</c:v>
                </c:pt>
                <c:pt idx="7">
                  <c:v>0</c:v>
                </c:pt>
                <c:pt idx="8">
                  <c:v>0</c:v>
                </c:pt>
              </c:numCache>
            </c:numRef>
          </c:cat>
          <c:val>
            <c:numRef>
              <c:f>'Condition A'!$D$748:$D$756</c:f>
              <c:numCache>
                <c:formatCode>0.0</c:formatCode>
                <c:ptCount val="9"/>
                <c:pt idx="0">
                  <c:v>0</c:v>
                </c:pt>
                <c:pt idx="1">
                  <c:v>0</c:v>
                </c:pt>
                <c:pt idx="2">
                  <c:v>0</c:v>
                </c:pt>
                <c:pt idx="3">
                  <c:v>0</c:v>
                </c:pt>
                <c:pt idx="4">
                  <c:v>0</c:v>
                </c:pt>
                <c:pt idx="5">
                  <c:v>0</c:v>
                </c:pt>
                <c:pt idx="6">
                  <c:v>0</c:v>
                </c:pt>
                <c:pt idx="7">
                  <c:v>0</c:v>
                </c:pt>
                <c:pt idx="8">
                  <c:v>0</c:v>
                </c:pt>
              </c:numCache>
            </c:numRef>
          </c:val>
        </c:ser>
        <c:axId val="91591808"/>
        <c:axId val="91593344"/>
      </c:barChart>
      <c:catAx>
        <c:axId val="91591808"/>
        <c:scaling>
          <c:orientation val="minMax"/>
        </c:scaling>
        <c:axPos val="b"/>
        <c:numFmt formatCode="General" sourceLinked="1"/>
        <c:majorTickMark val="none"/>
        <c:tickLblPos val="nextTo"/>
        <c:crossAx val="91593344"/>
        <c:crosses val="autoZero"/>
        <c:auto val="1"/>
        <c:lblAlgn val="ctr"/>
        <c:lblOffset val="100"/>
      </c:catAx>
      <c:valAx>
        <c:axId val="91593344"/>
        <c:scaling>
          <c:orientation val="minMax"/>
          <c:max val="100"/>
        </c:scaling>
        <c:axPos val="l"/>
        <c:majorGridlines/>
        <c:numFmt formatCode="0.0" sourceLinked="1"/>
        <c:majorTickMark val="none"/>
        <c:tickLblPos val="nextTo"/>
        <c:crossAx val="91591808"/>
        <c:crosses val="autoZero"/>
        <c:crossBetween val="between"/>
      </c:valAx>
    </c:plotArea>
    <c:plotVisOnly val="1"/>
    <c:dispBlanksAs val="gap"/>
  </c:chart>
  <c:printSettings>
    <c:headerFooter/>
    <c:pageMargins b="0.75000000000001443" l="0.70000000000000062" r="0.70000000000000062" t="0.75000000000001443"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IE"/>
  <c:chart>
    <c:title>
      <c:tx>
        <c:strRef>
          <c:f>'Condition A'!$A$761</c:f>
          <c:strCache>
            <c:ptCount val="1"/>
            <c:pt idx="0">
              <c:v>Question51</c:v>
            </c:pt>
          </c:strCache>
        </c:strRef>
      </c:tx>
    </c:title>
    <c:plotArea>
      <c:layout/>
      <c:barChart>
        <c:barDir val="col"/>
        <c:grouping val="clustered"/>
        <c:ser>
          <c:idx val="0"/>
          <c:order val="0"/>
          <c:dLbls>
            <c:showVal val="1"/>
          </c:dLbls>
          <c:cat>
            <c:numRef>
              <c:f>'Condition A'!$A$763:$A$771</c:f>
              <c:numCache>
                <c:formatCode>General</c:formatCode>
                <c:ptCount val="9"/>
                <c:pt idx="0">
                  <c:v>0</c:v>
                </c:pt>
                <c:pt idx="1">
                  <c:v>0</c:v>
                </c:pt>
                <c:pt idx="2">
                  <c:v>0</c:v>
                </c:pt>
                <c:pt idx="3">
                  <c:v>0</c:v>
                </c:pt>
                <c:pt idx="4">
                  <c:v>0</c:v>
                </c:pt>
                <c:pt idx="5">
                  <c:v>0</c:v>
                </c:pt>
                <c:pt idx="6">
                  <c:v>0</c:v>
                </c:pt>
                <c:pt idx="7">
                  <c:v>0</c:v>
                </c:pt>
                <c:pt idx="8">
                  <c:v>0</c:v>
                </c:pt>
              </c:numCache>
            </c:numRef>
          </c:cat>
          <c:val>
            <c:numRef>
              <c:f>'Condition A'!$D$763:$D$771</c:f>
              <c:numCache>
                <c:formatCode>0.0</c:formatCode>
                <c:ptCount val="9"/>
                <c:pt idx="0">
                  <c:v>0</c:v>
                </c:pt>
                <c:pt idx="1">
                  <c:v>0</c:v>
                </c:pt>
                <c:pt idx="2">
                  <c:v>0</c:v>
                </c:pt>
                <c:pt idx="3">
                  <c:v>0</c:v>
                </c:pt>
                <c:pt idx="4">
                  <c:v>0</c:v>
                </c:pt>
                <c:pt idx="5">
                  <c:v>0</c:v>
                </c:pt>
                <c:pt idx="6">
                  <c:v>0</c:v>
                </c:pt>
                <c:pt idx="7">
                  <c:v>0</c:v>
                </c:pt>
                <c:pt idx="8">
                  <c:v>0</c:v>
                </c:pt>
              </c:numCache>
            </c:numRef>
          </c:val>
        </c:ser>
        <c:axId val="91621632"/>
        <c:axId val="91627520"/>
      </c:barChart>
      <c:catAx>
        <c:axId val="91621632"/>
        <c:scaling>
          <c:orientation val="minMax"/>
        </c:scaling>
        <c:axPos val="b"/>
        <c:numFmt formatCode="General" sourceLinked="1"/>
        <c:majorTickMark val="none"/>
        <c:tickLblPos val="nextTo"/>
        <c:crossAx val="91627520"/>
        <c:crosses val="autoZero"/>
        <c:auto val="1"/>
        <c:lblAlgn val="ctr"/>
        <c:lblOffset val="100"/>
      </c:catAx>
      <c:valAx>
        <c:axId val="91627520"/>
        <c:scaling>
          <c:orientation val="minMax"/>
          <c:max val="100"/>
        </c:scaling>
        <c:axPos val="l"/>
        <c:majorGridlines/>
        <c:numFmt formatCode="0.0" sourceLinked="1"/>
        <c:majorTickMark val="none"/>
        <c:tickLblPos val="nextTo"/>
        <c:crossAx val="91621632"/>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IE"/>
  <c:chart>
    <c:title>
      <c:tx>
        <c:strRef>
          <c:f>'Condition A'!$A$776</c:f>
          <c:strCache>
            <c:ptCount val="1"/>
            <c:pt idx="0">
              <c:v>Question52</c:v>
            </c:pt>
          </c:strCache>
        </c:strRef>
      </c:tx>
    </c:title>
    <c:plotArea>
      <c:layout/>
      <c:barChart>
        <c:barDir val="col"/>
        <c:grouping val="clustered"/>
        <c:ser>
          <c:idx val="0"/>
          <c:order val="0"/>
          <c:dLbls>
            <c:showVal val="1"/>
          </c:dLbls>
          <c:cat>
            <c:numRef>
              <c:f>'Condition A'!$A$778:$A$786</c:f>
              <c:numCache>
                <c:formatCode>General</c:formatCode>
                <c:ptCount val="9"/>
                <c:pt idx="0">
                  <c:v>0</c:v>
                </c:pt>
                <c:pt idx="1">
                  <c:v>0</c:v>
                </c:pt>
                <c:pt idx="2">
                  <c:v>0</c:v>
                </c:pt>
                <c:pt idx="3">
                  <c:v>0</c:v>
                </c:pt>
                <c:pt idx="4">
                  <c:v>0</c:v>
                </c:pt>
                <c:pt idx="5">
                  <c:v>0</c:v>
                </c:pt>
                <c:pt idx="6">
                  <c:v>0</c:v>
                </c:pt>
                <c:pt idx="7">
                  <c:v>0</c:v>
                </c:pt>
                <c:pt idx="8">
                  <c:v>0</c:v>
                </c:pt>
              </c:numCache>
            </c:numRef>
          </c:cat>
          <c:val>
            <c:numRef>
              <c:f>'Condition A'!$D$778:$D$786</c:f>
              <c:numCache>
                <c:formatCode>0.0</c:formatCode>
                <c:ptCount val="9"/>
                <c:pt idx="0">
                  <c:v>0</c:v>
                </c:pt>
                <c:pt idx="1">
                  <c:v>0</c:v>
                </c:pt>
                <c:pt idx="2">
                  <c:v>0</c:v>
                </c:pt>
                <c:pt idx="3">
                  <c:v>0</c:v>
                </c:pt>
                <c:pt idx="4">
                  <c:v>0</c:v>
                </c:pt>
                <c:pt idx="5">
                  <c:v>0</c:v>
                </c:pt>
                <c:pt idx="6">
                  <c:v>0</c:v>
                </c:pt>
                <c:pt idx="7">
                  <c:v>0</c:v>
                </c:pt>
                <c:pt idx="8">
                  <c:v>0</c:v>
                </c:pt>
              </c:numCache>
            </c:numRef>
          </c:val>
        </c:ser>
        <c:axId val="91658880"/>
        <c:axId val="91664768"/>
      </c:barChart>
      <c:catAx>
        <c:axId val="91658880"/>
        <c:scaling>
          <c:orientation val="minMax"/>
        </c:scaling>
        <c:axPos val="b"/>
        <c:numFmt formatCode="General" sourceLinked="1"/>
        <c:majorTickMark val="none"/>
        <c:tickLblPos val="nextTo"/>
        <c:crossAx val="91664768"/>
        <c:crosses val="autoZero"/>
        <c:auto val="1"/>
        <c:lblAlgn val="ctr"/>
        <c:lblOffset val="100"/>
      </c:catAx>
      <c:valAx>
        <c:axId val="91664768"/>
        <c:scaling>
          <c:orientation val="minMax"/>
          <c:max val="100"/>
        </c:scaling>
        <c:axPos val="l"/>
        <c:majorGridlines/>
        <c:numFmt formatCode="0.0" sourceLinked="1"/>
        <c:majorTickMark val="none"/>
        <c:tickLblPos val="nextTo"/>
        <c:crossAx val="91658880"/>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IE"/>
  <c:chart>
    <c:title>
      <c:tx>
        <c:strRef>
          <c:f>'Condition A'!$A$791</c:f>
          <c:strCache>
            <c:ptCount val="1"/>
            <c:pt idx="0">
              <c:v>Question53</c:v>
            </c:pt>
          </c:strCache>
        </c:strRef>
      </c:tx>
    </c:title>
    <c:plotArea>
      <c:layout/>
      <c:barChart>
        <c:barDir val="col"/>
        <c:grouping val="clustered"/>
        <c:ser>
          <c:idx val="0"/>
          <c:order val="0"/>
          <c:dLbls>
            <c:showVal val="1"/>
          </c:dLbls>
          <c:cat>
            <c:numRef>
              <c:f>'Condition A'!$A$793:$A$801</c:f>
              <c:numCache>
                <c:formatCode>General</c:formatCode>
                <c:ptCount val="9"/>
                <c:pt idx="0">
                  <c:v>0</c:v>
                </c:pt>
                <c:pt idx="1">
                  <c:v>0</c:v>
                </c:pt>
                <c:pt idx="2">
                  <c:v>0</c:v>
                </c:pt>
                <c:pt idx="3">
                  <c:v>0</c:v>
                </c:pt>
                <c:pt idx="4">
                  <c:v>0</c:v>
                </c:pt>
                <c:pt idx="5">
                  <c:v>0</c:v>
                </c:pt>
                <c:pt idx="6">
                  <c:v>0</c:v>
                </c:pt>
                <c:pt idx="7">
                  <c:v>0</c:v>
                </c:pt>
                <c:pt idx="8">
                  <c:v>0</c:v>
                </c:pt>
              </c:numCache>
            </c:numRef>
          </c:cat>
          <c:val>
            <c:numRef>
              <c:f>'Condition A'!$D$793:$D$801</c:f>
              <c:numCache>
                <c:formatCode>0.0</c:formatCode>
                <c:ptCount val="9"/>
                <c:pt idx="0">
                  <c:v>0</c:v>
                </c:pt>
                <c:pt idx="1">
                  <c:v>0</c:v>
                </c:pt>
                <c:pt idx="2">
                  <c:v>0</c:v>
                </c:pt>
                <c:pt idx="3">
                  <c:v>0</c:v>
                </c:pt>
                <c:pt idx="4">
                  <c:v>0</c:v>
                </c:pt>
                <c:pt idx="5">
                  <c:v>0</c:v>
                </c:pt>
                <c:pt idx="6">
                  <c:v>0</c:v>
                </c:pt>
                <c:pt idx="7">
                  <c:v>0</c:v>
                </c:pt>
                <c:pt idx="8">
                  <c:v>0</c:v>
                </c:pt>
              </c:numCache>
            </c:numRef>
          </c:val>
        </c:ser>
        <c:axId val="91754496"/>
        <c:axId val="91756032"/>
      </c:barChart>
      <c:catAx>
        <c:axId val="91754496"/>
        <c:scaling>
          <c:orientation val="minMax"/>
        </c:scaling>
        <c:axPos val="b"/>
        <c:numFmt formatCode="General" sourceLinked="1"/>
        <c:majorTickMark val="none"/>
        <c:tickLblPos val="nextTo"/>
        <c:crossAx val="91756032"/>
        <c:crosses val="autoZero"/>
        <c:auto val="1"/>
        <c:lblAlgn val="ctr"/>
        <c:lblOffset val="100"/>
      </c:catAx>
      <c:valAx>
        <c:axId val="91756032"/>
        <c:scaling>
          <c:orientation val="minMax"/>
          <c:max val="100"/>
        </c:scaling>
        <c:axPos val="l"/>
        <c:majorGridlines/>
        <c:numFmt formatCode="0.0" sourceLinked="1"/>
        <c:majorTickMark val="none"/>
        <c:tickLblPos val="nextTo"/>
        <c:crossAx val="91754496"/>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IE"/>
  <c:chart>
    <c:title>
      <c:tx>
        <c:strRef>
          <c:f>'Condition A'!$A$806</c:f>
          <c:strCache>
            <c:ptCount val="1"/>
            <c:pt idx="0">
              <c:v>Question54</c:v>
            </c:pt>
          </c:strCache>
        </c:strRef>
      </c:tx>
    </c:title>
    <c:plotArea>
      <c:layout/>
      <c:barChart>
        <c:barDir val="col"/>
        <c:grouping val="clustered"/>
        <c:ser>
          <c:idx val="0"/>
          <c:order val="0"/>
          <c:dLbls>
            <c:showVal val="1"/>
          </c:dLbls>
          <c:cat>
            <c:numRef>
              <c:f>'Condition A'!$A$808:$A$816</c:f>
              <c:numCache>
                <c:formatCode>General</c:formatCode>
                <c:ptCount val="9"/>
                <c:pt idx="0">
                  <c:v>0</c:v>
                </c:pt>
                <c:pt idx="1">
                  <c:v>0</c:v>
                </c:pt>
                <c:pt idx="2">
                  <c:v>0</c:v>
                </c:pt>
                <c:pt idx="3">
                  <c:v>0</c:v>
                </c:pt>
                <c:pt idx="4">
                  <c:v>0</c:v>
                </c:pt>
                <c:pt idx="5">
                  <c:v>0</c:v>
                </c:pt>
                <c:pt idx="6">
                  <c:v>0</c:v>
                </c:pt>
                <c:pt idx="7">
                  <c:v>0</c:v>
                </c:pt>
                <c:pt idx="8">
                  <c:v>0</c:v>
                </c:pt>
              </c:numCache>
            </c:numRef>
          </c:cat>
          <c:val>
            <c:numRef>
              <c:f>'Condition A'!$D$808:$D$816</c:f>
              <c:numCache>
                <c:formatCode>0.0</c:formatCode>
                <c:ptCount val="9"/>
                <c:pt idx="0">
                  <c:v>0</c:v>
                </c:pt>
                <c:pt idx="1">
                  <c:v>0</c:v>
                </c:pt>
                <c:pt idx="2">
                  <c:v>0</c:v>
                </c:pt>
                <c:pt idx="3">
                  <c:v>0</c:v>
                </c:pt>
                <c:pt idx="4">
                  <c:v>0</c:v>
                </c:pt>
                <c:pt idx="5">
                  <c:v>0</c:v>
                </c:pt>
                <c:pt idx="6">
                  <c:v>0</c:v>
                </c:pt>
                <c:pt idx="7">
                  <c:v>0</c:v>
                </c:pt>
                <c:pt idx="8">
                  <c:v>0</c:v>
                </c:pt>
              </c:numCache>
            </c:numRef>
          </c:val>
        </c:ser>
        <c:axId val="91800704"/>
        <c:axId val="91802240"/>
      </c:barChart>
      <c:catAx>
        <c:axId val="91800704"/>
        <c:scaling>
          <c:orientation val="minMax"/>
        </c:scaling>
        <c:axPos val="b"/>
        <c:numFmt formatCode="General" sourceLinked="1"/>
        <c:majorTickMark val="none"/>
        <c:tickLblPos val="nextTo"/>
        <c:crossAx val="91802240"/>
        <c:crosses val="autoZero"/>
        <c:auto val="1"/>
        <c:lblAlgn val="ctr"/>
        <c:lblOffset val="100"/>
      </c:catAx>
      <c:valAx>
        <c:axId val="91802240"/>
        <c:scaling>
          <c:orientation val="minMax"/>
          <c:max val="100"/>
        </c:scaling>
        <c:axPos val="l"/>
        <c:majorGridlines/>
        <c:numFmt formatCode="0.0" sourceLinked="1"/>
        <c:majorTickMark val="none"/>
        <c:tickLblPos val="nextTo"/>
        <c:crossAx val="9180070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IE"/>
  <c:chart>
    <c:title>
      <c:tx>
        <c:strRef>
          <c:f>'Condition A'!$A$821</c:f>
          <c:strCache>
            <c:ptCount val="1"/>
            <c:pt idx="0">
              <c:v>Question55</c:v>
            </c:pt>
          </c:strCache>
        </c:strRef>
      </c:tx>
    </c:title>
    <c:plotArea>
      <c:layout/>
      <c:barChart>
        <c:barDir val="col"/>
        <c:grouping val="clustered"/>
        <c:ser>
          <c:idx val="0"/>
          <c:order val="0"/>
          <c:dLbls>
            <c:showVal val="1"/>
          </c:dLbls>
          <c:cat>
            <c:numRef>
              <c:f>'Condition A'!$A$823:$A$831</c:f>
              <c:numCache>
                <c:formatCode>General</c:formatCode>
                <c:ptCount val="9"/>
                <c:pt idx="0">
                  <c:v>0</c:v>
                </c:pt>
                <c:pt idx="1">
                  <c:v>0</c:v>
                </c:pt>
                <c:pt idx="2">
                  <c:v>0</c:v>
                </c:pt>
                <c:pt idx="3">
                  <c:v>0</c:v>
                </c:pt>
                <c:pt idx="4">
                  <c:v>0</c:v>
                </c:pt>
                <c:pt idx="5">
                  <c:v>0</c:v>
                </c:pt>
                <c:pt idx="6">
                  <c:v>0</c:v>
                </c:pt>
                <c:pt idx="7">
                  <c:v>0</c:v>
                </c:pt>
                <c:pt idx="8">
                  <c:v>0</c:v>
                </c:pt>
              </c:numCache>
            </c:numRef>
          </c:cat>
          <c:val>
            <c:numRef>
              <c:f>'Condition A'!$D$823:$D$831</c:f>
              <c:numCache>
                <c:formatCode>0.0</c:formatCode>
                <c:ptCount val="9"/>
                <c:pt idx="0">
                  <c:v>0</c:v>
                </c:pt>
                <c:pt idx="1">
                  <c:v>0</c:v>
                </c:pt>
                <c:pt idx="2">
                  <c:v>0</c:v>
                </c:pt>
                <c:pt idx="3">
                  <c:v>0</c:v>
                </c:pt>
                <c:pt idx="4">
                  <c:v>0</c:v>
                </c:pt>
                <c:pt idx="5">
                  <c:v>0</c:v>
                </c:pt>
                <c:pt idx="6">
                  <c:v>0</c:v>
                </c:pt>
                <c:pt idx="7">
                  <c:v>0</c:v>
                </c:pt>
                <c:pt idx="8">
                  <c:v>0</c:v>
                </c:pt>
              </c:numCache>
            </c:numRef>
          </c:val>
        </c:ser>
        <c:axId val="91691264"/>
        <c:axId val="91717632"/>
      </c:barChart>
      <c:catAx>
        <c:axId val="91691264"/>
        <c:scaling>
          <c:orientation val="minMax"/>
        </c:scaling>
        <c:axPos val="b"/>
        <c:numFmt formatCode="General" sourceLinked="1"/>
        <c:majorTickMark val="none"/>
        <c:tickLblPos val="nextTo"/>
        <c:crossAx val="91717632"/>
        <c:crosses val="autoZero"/>
        <c:auto val="1"/>
        <c:lblAlgn val="ctr"/>
        <c:lblOffset val="100"/>
      </c:catAx>
      <c:valAx>
        <c:axId val="91717632"/>
        <c:scaling>
          <c:orientation val="minMax"/>
          <c:max val="100"/>
        </c:scaling>
        <c:axPos val="l"/>
        <c:majorGridlines/>
        <c:numFmt formatCode="0.0" sourceLinked="1"/>
        <c:majorTickMark val="none"/>
        <c:tickLblPos val="nextTo"/>
        <c:crossAx val="9169126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IE"/>
  <c:chart>
    <c:title>
      <c:tx>
        <c:strRef>
          <c:f>'Condition A'!$A$836</c:f>
          <c:strCache>
            <c:ptCount val="1"/>
            <c:pt idx="0">
              <c:v>Question56</c:v>
            </c:pt>
          </c:strCache>
        </c:strRef>
      </c:tx>
    </c:title>
    <c:plotArea>
      <c:layout/>
      <c:barChart>
        <c:barDir val="col"/>
        <c:grouping val="clustered"/>
        <c:ser>
          <c:idx val="0"/>
          <c:order val="0"/>
          <c:dLbls>
            <c:showVal val="1"/>
          </c:dLbls>
          <c:cat>
            <c:numRef>
              <c:f>'Condition A'!$A$838:$A$846</c:f>
              <c:numCache>
                <c:formatCode>General</c:formatCode>
                <c:ptCount val="9"/>
                <c:pt idx="0">
                  <c:v>0</c:v>
                </c:pt>
                <c:pt idx="1">
                  <c:v>0</c:v>
                </c:pt>
                <c:pt idx="2">
                  <c:v>0</c:v>
                </c:pt>
                <c:pt idx="3">
                  <c:v>0</c:v>
                </c:pt>
                <c:pt idx="4">
                  <c:v>0</c:v>
                </c:pt>
                <c:pt idx="5">
                  <c:v>0</c:v>
                </c:pt>
                <c:pt idx="6">
                  <c:v>0</c:v>
                </c:pt>
                <c:pt idx="7">
                  <c:v>0</c:v>
                </c:pt>
                <c:pt idx="8">
                  <c:v>0</c:v>
                </c:pt>
              </c:numCache>
            </c:numRef>
          </c:cat>
          <c:val>
            <c:numRef>
              <c:f>'Condition A'!$D$838:$D$846</c:f>
              <c:numCache>
                <c:formatCode>0.0</c:formatCode>
                <c:ptCount val="9"/>
                <c:pt idx="0">
                  <c:v>0</c:v>
                </c:pt>
                <c:pt idx="1">
                  <c:v>0</c:v>
                </c:pt>
                <c:pt idx="2">
                  <c:v>0</c:v>
                </c:pt>
                <c:pt idx="3">
                  <c:v>0</c:v>
                </c:pt>
                <c:pt idx="4">
                  <c:v>0</c:v>
                </c:pt>
                <c:pt idx="5">
                  <c:v>0</c:v>
                </c:pt>
                <c:pt idx="6">
                  <c:v>0</c:v>
                </c:pt>
                <c:pt idx="7">
                  <c:v>0</c:v>
                </c:pt>
                <c:pt idx="8">
                  <c:v>0</c:v>
                </c:pt>
              </c:numCache>
            </c:numRef>
          </c:val>
        </c:ser>
        <c:axId val="91729280"/>
        <c:axId val="91817088"/>
      </c:barChart>
      <c:catAx>
        <c:axId val="91729280"/>
        <c:scaling>
          <c:orientation val="minMax"/>
        </c:scaling>
        <c:axPos val="b"/>
        <c:numFmt formatCode="General" sourceLinked="1"/>
        <c:majorTickMark val="none"/>
        <c:tickLblPos val="nextTo"/>
        <c:crossAx val="91817088"/>
        <c:crosses val="autoZero"/>
        <c:auto val="1"/>
        <c:lblAlgn val="ctr"/>
        <c:lblOffset val="100"/>
      </c:catAx>
      <c:valAx>
        <c:axId val="91817088"/>
        <c:scaling>
          <c:orientation val="minMax"/>
          <c:max val="100"/>
        </c:scaling>
        <c:axPos val="l"/>
        <c:majorGridlines/>
        <c:numFmt formatCode="0.0" sourceLinked="1"/>
        <c:majorTickMark val="none"/>
        <c:tickLblPos val="nextTo"/>
        <c:crossAx val="91729280"/>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IE"/>
  <c:chart>
    <c:title>
      <c:tx>
        <c:strRef>
          <c:f>'Condition A'!$A$851</c:f>
          <c:strCache>
            <c:ptCount val="1"/>
            <c:pt idx="0">
              <c:v>Question57</c:v>
            </c:pt>
          </c:strCache>
        </c:strRef>
      </c:tx>
    </c:title>
    <c:plotArea>
      <c:layout/>
      <c:barChart>
        <c:barDir val="col"/>
        <c:grouping val="clustered"/>
        <c:ser>
          <c:idx val="0"/>
          <c:order val="0"/>
          <c:dLbls>
            <c:showVal val="1"/>
          </c:dLbls>
          <c:cat>
            <c:numRef>
              <c:f>'Condition A'!$A$853:$A$861</c:f>
              <c:numCache>
                <c:formatCode>General</c:formatCode>
                <c:ptCount val="9"/>
                <c:pt idx="0">
                  <c:v>0</c:v>
                </c:pt>
                <c:pt idx="1">
                  <c:v>0</c:v>
                </c:pt>
                <c:pt idx="2">
                  <c:v>0</c:v>
                </c:pt>
                <c:pt idx="3">
                  <c:v>0</c:v>
                </c:pt>
                <c:pt idx="4">
                  <c:v>0</c:v>
                </c:pt>
                <c:pt idx="5">
                  <c:v>0</c:v>
                </c:pt>
                <c:pt idx="6">
                  <c:v>0</c:v>
                </c:pt>
                <c:pt idx="7">
                  <c:v>0</c:v>
                </c:pt>
                <c:pt idx="8">
                  <c:v>0</c:v>
                </c:pt>
              </c:numCache>
            </c:numRef>
          </c:cat>
          <c:val>
            <c:numRef>
              <c:f>'Condition A'!$D$853:$D$861</c:f>
              <c:numCache>
                <c:formatCode>0.0</c:formatCode>
                <c:ptCount val="9"/>
                <c:pt idx="0">
                  <c:v>0</c:v>
                </c:pt>
                <c:pt idx="1">
                  <c:v>0</c:v>
                </c:pt>
                <c:pt idx="2">
                  <c:v>0</c:v>
                </c:pt>
                <c:pt idx="3">
                  <c:v>0</c:v>
                </c:pt>
                <c:pt idx="4">
                  <c:v>0</c:v>
                </c:pt>
                <c:pt idx="5">
                  <c:v>0</c:v>
                </c:pt>
                <c:pt idx="6">
                  <c:v>0</c:v>
                </c:pt>
                <c:pt idx="7">
                  <c:v>0</c:v>
                </c:pt>
                <c:pt idx="8">
                  <c:v>0</c:v>
                </c:pt>
              </c:numCache>
            </c:numRef>
          </c:val>
        </c:ser>
        <c:axId val="91857664"/>
        <c:axId val="91859200"/>
      </c:barChart>
      <c:catAx>
        <c:axId val="91857664"/>
        <c:scaling>
          <c:orientation val="minMax"/>
        </c:scaling>
        <c:axPos val="b"/>
        <c:numFmt formatCode="General" sourceLinked="1"/>
        <c:majorTickMark val="none"/>
        <c:tickLblPos val="nextTo"/>
        <c:crossAx val="91859200"/>
        <c:crosses val="autoZero"/>
        <c:auto val="1"/>
        <c:lblAlgn val="ctr"/>
        <c:lblOffset val="100"/>
      </c:catAx>
      <c:valAx>
        <c:axId val="91859200"/>
        <c:scaling>
          <c:orientation val="minMax"/>
          <c:max val="100"/>
        </c:scaling>
        <c:axPos val="l"/>
        <c:majorGridlines/>
        <c:numFmt formatCode="0.0" sourceLinked="1"/>
        <c:majorTickMark val="none"/>
        <c:tickLblPos val="nextTo"/>
        <c:crossAx val="9185766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IE"/>
  <c:chart>
    <c:title>
      <c:tx>
        <c:strRef>
          <c:f>'Condition A'!$A$866</c:f>
          <c:strCache>
            <c:ptCount val="1"/>
            <c:pt idx="0">
              <c:v>Question58</c:v>
            </c:pt>
          </c:strCache>
        </c:strRef>
      </c:tx>
    </c:title>
    <c:plotArea>
      <c:layout/>
      <c:barChart>
        <c:barDir val="col"/>
        <c:grouping val="clustered"/>
        <c:ser>
          <c:idx val="0"/>
          <c:order val="0"/>
          <c:dLbls>
            <c:showVal val="1"/>
          </c:dLbls>
          <c:cat>
            <c:numRef>
              <c:f>'Condition A'!$A$868:$A$876</c:f>
              <c:numCache>
                <c:formatCode>General</c:formatCode>
                <c:ptCount val="9"/>
                <c:pt idx="0">
                  <c:v>0</c:v>
                </c:pt>
                <c:pt idx="1">
                  <c:v>0</c:v>
                </c:pt>
                <c:pt idx="2">
                  <c:v>0</c:v>
                </c:pt>
                <c:pt idx="3">
                  <c:v>0</c:v>
                </c:pt>
                <c:pt idx="4">
                  <c:v>0</c:v>
                </c:pt>
                <c:pt idx="5">
                  <c:v>0</c:v>
                </c:pt>
                <c:pt idx="6">
                  <c:v>0</c:v>
                </c:pt>
                <c:pt idx="7">
                  <c:v>0</c:v>
                </c:pt>
                <c:pt idx="8">
                  <c:v>0</c:v>
                </c:pt>
              </c:numCache>
            </c:numRef>
          </c:cat>
          <c:val>
            <c:numRef>
              <c:f>'Condition A'!$D$868:$D$876</c:f>
              <c:numCache>
                <c:formatCode>0.0</c:formatCode>
                <c:ptCount val="9"/>
                <c:pt idx="0">
                  <c:v>0</c:v>
                </c:pt>
                <c:pt idx="1">
                  <c:v>0</c:v>
                </c:pt>
                <c:pt idx="2">
                  <c:v>0</c:v>
                </c:pt>
                <c:pt idx="3">
                  <c:v>0</c:v>
                </c:pt>
                <c:pt idx="4">
                  <c:v>0</c:v>
                </c:pt>
                <c:pt idx="5">
                  <c:v>0</c:v>
                </c:pt>
                <c:pt idx="6">
                  <c:v>0</c:v>
                </c:pt>
                <c:pt idx="7">
                  <c:v>0</c:v>
                </c:pt>
                <c:pt idx="8">
                  <c:v>0</c:v>
                </c:pt>
              </c:numCache>
            </c:numRef>
          </c:val>
        </c:ser>
        <c:axId val="91875200"/>
        <c:axId val="91876736"/>
      </c:barChart>
      <c:catAx>
        <c:axId val="91875200"/>
        <c:scaling>
          <c:orientation val="minMax"/>
        </c:scaling>
        <c:axPos val="b"/>
        <c:numFmt formatCode="General" sourceLinked="1"/>
        <c:majorTickMark val="none"/>
        <c:tickLblPos val="nextTo"/>
        <c:crossAx val="91876736"/>
        <c:crosses val="autoZero"/>
        <c:auto val="1"/>
        <c:lblAlgn val="ctr"/>
        <c:lblOffset val="100"/>
      </c:catAx>
      <c:valAx>
        <c:axId val="91876736"/>
        <c:scaling>
          <c:orientation val="minMax"/>
          <c:max val="100"/>
        </c:scaling>
        <c:axPos val="l"/>
        <c:majorGridlines/>
        <c:numFmt formatCode="0.0" sourceLinked="1"/>
        <c:majorTickMark val="none"/>
        <c:tickLblPos val="nextTo"/>
        <c:crossAx val="91875200"/>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IE"/>
  <c:chart>
    <c:title>
      <c:tx>
        <c:strRef>
          <c:f>'Condition A'!$A$881</c:f>
          <c:strCache>
            <c:ptCount val="1"/>
            <c:pt idx="0">
              <c:v>Question59</c:v>
            </c:pt>
          </c:strCache>
        </c:strRef>
      </c:tx>
    </c:title>
    <c:plotArea>
      <c:layout/>
      <c:barChart>
        <c:barDir val="col"/>
        <c:grouping val="clustered"/>
        <c:ser>
          <c:idx val="0"/>
          <c:order val="0"/>
          <c:dLbls>
            <c:showVal val="1"/>
          </c:dLbls>
          <c:cat>
            <c:numRef>
              <c:f>'Condition A'!$A$883:$A$891</c:f>
              <c:numCache>
                <c:formatCode>General</c:formatCode>
                <c:ptCount val="9"/>
                <c:pt idx="0">
                  <c:v>0</c:v>
                </c:pt>
                <c:pt idx="1">
                  <c:v>0</c:v>
                </c:pt>
                <c:pt idx="2">
                  <c:v>0</c:v>
                </c:pt>
                <c:pt idx="3">
                  <c:v>0</c:v>
                </c:pt>
                <c:pt idx="4">
                  <c:v>0</c:v>
                </c:pt>
                <c:pt idx="5">
                  <c:v>0</c:v>
                </c:pt>
                <c:pt idx="6">
                  <c:v>0</c:v>
                </c:pt>
                <c:pt idx="7">
                  <c:v>0</c:v>
                </c:pt>
                <c:pt idx="8">
                  <c:v>0</c:v>
                </c:pt>
              </c:numCache>
            </c:numRef>
          </c:cat>
          <c:val>
            <c:numRef>
              <c:f>'Condition A'!$D$883:$D$891</c:f>
              <c:numCache>
                <c:formatCode>0.0</c:formatCode>
                <c:ptCount val="9"/>
                <c:pt idx="0">
                  <c:v>0</c:v>
                </c:pt>
                <c:pt idx="1">
                  <c:v>0</c:v>
                </c:pt>
                <c:pt idx="2">
                  <c:v>0</c:v>
                </c:pt>
                <c:pt idx="3">
                  <c:v>0</c:v>
                </c:pt>
                <c:pt idx="4">
                  <c:v>0</c:v>
                </c:pt>
                <c:pt idx="5">
                  <c:v>0</c:v>
                </c:pt>
                <c:pt idx="6">
                  <c:v>0</c:v>
                </c:pt>
                <c:pt idx="7">
                  <c:v>0</c:v>
                </c:pt>
                <c:pt idx="8">
                  <c:v>0</c:v>
                </c:pt>
              </c:numCache>
            </c:numRef>
          </c:val>
        </c:ser>
        <c:axId val="91909120"/>
        <c:axId val="91927296"/>
      </c:barChart>
      <c:catAx>
        <c:axId val="91909120"/>
        <c:scaling>
          <c:orientation val="minMax"/>
        </c:scaling>
        <c:axPos val="b"/>
        <c:numFmt formatCode="General" sourceLinked="1"/>
        <c:majorTickMark val="none"/>
        <c:tickLblPos val="nextTo"/>
        <c:crossAx val="91927296"/>
        <c:crosses val="autoZero"/>
        <c:auto val="1"/>
        <c:lblAlgn val="ctr"/>
        <c:lblOffset val="100"/>
      </c:catAx>
      <c:valAx>
        <c:axId val="91927296"/>
        <c:scaling>
          <c:orientation val="minMax"/>
          <c:max val="100"/>
        </c:scaling>
        <c:axPos val="l"/>
        <c:majorGridlines/>
        <c:numFmt formatCode="0.0" sourceLinked="1"/>
        <c:majorTickMark val="none"/>
        <c:tickLblPos val="nextTo"/>
        <c:crossAx val="91909120"/>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E"/>
  <c:chart>
    <c:title>
      <c:tx>
        <c:strRef>
          <c:f>OverallResults!$A$110</c:f>
          <c:strCache>
            <c:ptCount val="1"/>
            <c:pt idx="0">
              <c:v>Temperature of the food?</c:v>
            </c:pt>
          </c:strCache>
        </c:strRef>
      </c:tx>
    </c:title>
    <c:plotArea>
      <c:layout/>
      <c:barChart>
        <c:barDir val="col"/>
        <c:grouping val="clustered"/>
        <c:ser>
          <c:idx val="0"/>
          <c:order val="0"/>
          <c:dLbls>
            <c:showVal val="1"/>
          </c:dLbls>
          <c:cat>
            <c:strRef>
              <c:f>OverallResults!$A$112:$A$114</c:f>
              <c:strCache>
                <c:ptCount val="3"/>
                <c:pt idx="0">
                  <c:v>Happy</c:v>
                </c:pt>
                <c:pt idx="1">
                  <c:v>Neutral</c:v>
                </c:pt>
                <c:pt idx="2">
                  <c:v>Unhappy</c:v>
                </c:pt>
              </c:strCache>
            </c:strRef>
          </c:cat>
          <c:val>
            <c:numRef>
              <c:f>OverallResults!$D$112:$D$114</c:f>
              <c:numCache>
                <c:formatCode>0.0</c:formatCode>
                <c:ptCount val="3"/>
                <c:pt idx="0">
                  <c:v>0</c:v>
                </c:pt>
                <c:pt idx="1">
                  <c:v>0</c:v>
                </c:pt>
                <c:pt idx="2">
                  <c:v>0</c:v>
                </c:pt>
              </c:numCache>
            </c:numRef>
          </c:val>
        </c:ser>
        <c:axId val="75085696"/>
        <c:axId val="75087232"/>
      </c:barChart>
      <c:catAx>
        <c:axId val="75085696"/>
        <c:scaling>
          <c:orientation val="minMax"/>
        </c:scaling>
        <c:axPos val="b"/>
        <c:numFmt formatCode="General" sourceLinked="1"/>
        <c:majorTickMark val="none"/>
        <c:tickLblPos val="nextTo"/>
        <c:crossAx val="75087232"/>
        <c:crosses val="autoZero"/>
        <c:auto val="1"/>
        <c:lblAlgn val="ctr"/>
        <c:lblOffset val="100"/>
      </c:catAx>
      <c:valAx>
        <c:axId val="75087232"/>
        <c:scaling>
          <c:orientation val="minMax"/>
          <c:max val="100"/>
        </c:scaling>
        <c:axPos val="l"/>
        <c:majorGridlines/>
        <c:numFmt formatCode="0.0" sourceLinked="1"/>
        <c:majorTickMark val="none"/>
        <c:tickLblPos val="nextTo"/>
        <c:crossAx val="75085696"/>
        <c:crosses val="autoZero"/>
        <c:crossBetween val="between"/>
      </c:valAx>
    </c:plotArea>
    <c:plotVisOnly val="1"/>
    <c:dispBlanksAs val="gap"/>
  </c:chart>
  <c:printSettings>
    <c:headerFooter/>
    <c:pageMargins b="0.75000000000000644" l="0.70000000000000062" r="0.70000000000000062" t="0.75000000000000644"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IE"/>
  <c:chart>
    <c:title>
      <c:tx>
        <c:strRef>
          <c:f>'Condition A'!$A$896</c:f>
          <c:strCache>
            <c:ptCount val="1"/>
            <c:pt idx="0">
              <c:v>Question60</c:v>
            </c:pt>
          </c:strCache>
        </c:strRef>
      </c:tx>
    </c:title>
    <c:plotArea>
      <c:layout/>
      <c:barChart>
        <c:barDir val="col"/>
        <c:grouping val="clustered"/>
        <c:ser>
          <c:idx val="0"/>
          <c:order val="0"/>
          <c:dLbls>
            <c:showVal val="1"/>
          </c:dLbls>
          <c:cat>
            <c:numRef>
              <c:f>'Condition A'!$A$898:$A$906</c:f>
              <c:numCache>
                <c:formatCode>General</c:formatCode>
                <c:ptCount val="9"/>
                <c:pt idx="0">
                  <c:v>0</c:v>
                </c:pt>
                <c:pt idx="1">
                  <c:v>0</c:v>
                </c:pt>
                <c:pt idx="2">
                  <c:v>0</c:v>
                </c:pt>
                <c:pt idx="3">
                  <c:v>0</c:v>
                </c:pt>
                <c:pt idx="4">
                  <c:v>0</c:v>
                </c:pt>
                <c:pt idx="5">
                  <c:v>0</c:v>
                </c:pt>
                <c:pt idx="6">
                  <c:v>0</c:v>
                </c:pt>
                <c:pt idx="7">
                  <c:v>0</c:v>
                </c:pt>
                <c:pt idx="8">
                  <c:v>0</c:v>
                </c:pt>
              </c:numCache>
            </c:numRef>
          </c:cat>
          <c:val>
            <c:numRef>
              <c:f>'Condition A'!$D$898:$D$906</c:f>
              <c:numCache>
                <c:formatCode>0.0</c:formatCode>
                <c:ptCount val="9"/>
                <c:pt idx="0">
                  <c:v>0</c:v>
                </c:pt>
                <c:pt idx="1">
                  <c:v>0</c:v>
                </c:pt>
                <c:pt idx="2">
                  <c:v>0</c:v>
                </c:pt>
                <c:pt idx="3">
                  <c:v>0</c:v>
                </c:pt>
                <c:pt idx="4">
                  <c:v>0</c:v>
                </c:pt>
                <c:pt idx="5">
                  <c:v>0</c:v>
                </c:pt>
                <c:pt idx="6">
                  <c:v>0</c:v>
                </c:pt>
                <c:pt idx="7">
                  <c:v>0</c:v>
                </c:pt>
                <c:pt idx="8">
                  <c:v>0</c:v>
                </c:pt>
              </c:numCache>
            </c:numRef>
          </c:val>
        </c:ser>
        <c:axId val="91955584"/>
        <c:axId val="91957120"/>
      </c:barChart>
      <c:catAx>
        <c:axId val="91955584"/>
        <c:scaling>
          <c:orientation val="minMax"/>
        </c:scaling>
        <c:axPos val="b"/>
        <c:numFmt formatCode="General" sourceLinked="1"/>
        <c:majorTickMark val="none"/>
        <c:tickLblPos val="nextTo"/>
        <c:crossAx val="91957120"/>
        <c:crosses val="autoZero"/>
        <c:auto val="1"/>
        <c:lblAlgn val="ctr"/>
        <c:lblOffset val="100"/>
      </c:catAx>
      <c:valAx>
        <c:axId val="91957120"/>
        <c:scaling>
          <c:orientation val="minMax"/>
          <c:max val="100"/>
        </c:scaling>
        <c:axPos val="l"/>
        <c:majorGridlines/>
        <c:numFmt formatCode="0.0" sourceLinked="1"/>
        <c:majorTickMark val="none"/>
        <c:tickLblPos val="nextTo"/>
        <c:crossAx val="91955584"/>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IE"/>
  <c:chart>
    <c:title>
      <c:tx>
        <c:strRef>
          <c:f>'Condition A'!$A$911</c:f>
          <c:strCache>
            <c:ptCount val="1"/>
            <c:pt idx="0">
              <c:v>Question61</c:v>
            </c:pt>
          </c:strCache>
        </c:strRef>
      </c:tx>
    </c:title>
    <c:plotArea>
      <c:layout/>
      <c:barChart>
        <c:barDir val="col"/>
        <c:grouping val="clustered"/>
        <c:ser>
          <c:idx val="0"/>
          <c:order val="0"/>
          <c:dLbls>
            <c:showVal val="1"/>
          </c:dLbls>
          <c:cat>
            <c:numRef>
              <c:f>'Condition A'!$A$913:$A$921</c:f>
              <c:numCache>
                <c:formatCode>General</c:formatCode>
                <c:ptCount val="9"/>
                <c:pt idx="0">
                  <c:v>0</c:v>
                </c:pt>
                <c:pt idx="1">
                  <c:v>0</c:v>
                </c:pt>
                <c:pt idx="2">
                  <c:v>0</c:v>
                </c:pt>
                <c:pt idx="3">
                  <c:v>0</c:v>
                </c:pt>
                <c:pt idx="4">
                  <c:v>0</c:v>
                </c:pt>
                <c:pt idx="5">
                  <c:v>0</c:v>
                </c:pt>
                <c:pt idx="6">
                  <c:v>0</c:v>
                </c:pt>
                <c:pt idx="7">
                  <c:v>0</c:v>
                </c:pt>
                <c:pt idx="8">
                  <c:v>0</c:v>
                </c:pt>
              </c:numCache>
            </c:numRef>
          </c:cat>
          <c:val>
            <c:numRef>
              <c:f>'Condition A'!$D$913:$D$921</c:f>
              <c:numCache>
                <c:formatCode>0.0</c:formatCode>
                <c:ptCount val="9"/>
                <c:pt idx="0">
                  <c:v>0</c:v>
                </c:pt>
                <c:pt idx="1">
                  <c:v>0</c:v>
                </c:pt>
                <c:pt idx="2">
                  <c:v>0</c:v>
                </c:pt>
                <c:pt idx="3">
                  <c:v>0</c:v>
                </c:pt>
                <c:pt idx="4">
                  <c:v>0</c:v>
                </c:pt>
                <c:pt idx="5">
                  <c:v>0</c:v>
                </c:pt>
                <c:pt idx="6">
                  <c:v>0</c:v>
                </c:pt>
                <c:pt idx="7">
                  <c:v>0</c:v>
                </c:pt>
                <c:pt idx="8">
                  <c:v>0</c:v>
                </c:pt>
              </c:numCache>
            </c:numRef>
          </c:val>
        </c:ser>
        <c:axId val="91977216"/>
        <c:axId val="91978752"/>
      </c:barChart>
      <c:catAx>
        <c:axId val="91977216"/>
        <c:scaling>
          <c:orientation val="minMax"/>
        </c:scaling>
        <c:axPos val="b"/>
        <c:numFmt formatCode="General" sourceLinked="1"/>
        <c:majorTickMark val="none"/>
        <c:tickLblPos val="nextTo"/>
        <c:crossAx val="91978752"/>
        <c:crosses val="autoZero"/>
        <c:auto val="1"/>
        <c:lblAlgn val="ctr"/>
        <c:lblOffset val="100"/>
      </c:catAx>
      <c:valAx>
        <c:axId val="91978752"/>
        <c:scaling>
          <c:orientation val="minMax"/>
          <c:max val="100"/>
        </c:scaling>
        <c:axPos val="l"/>
        <c:majorGridlines/>
        <c:numFmt formatCode="0.0" sourceLinked="1"/>
        <c:majorTickMark val="none"/>
        <c:tickLblPos val="nextTo"/>
        <c:crossAx val="91977216"/>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IE"/>
  <c:chart>
    <c:title>
      <c:tx>
        <c:strRef>
          <c:f>'Condition A'!$A$926</c:f>
          <c:strCache>
            <c:ptCount val="1"/>
            <c:pt idx="0">
              <c:v>Question62</c:v>
            </c:pt>
          </c:strCache>
        </c:strRef>
      </c:tx>
    </c:title>
    <c:plotArea>
      <c:layout/>
      <c:barChart>
        <c:barDir val="col"/>
        <c:grouping val="clustered"/>
        <c:ser>
          <c:idx val="0"/>
          <c:order val="0"/>
          <c:dLbls>
            <c:showVal val="1"/>
          </c:dLbls>
          <c:cat>
            <c:numRef>
              <c:f>'Condition A'!$A$928:$A$936</c:f>
              <c:numCache>
                <c:formatCode>General</c:formatCode>
                <c:ptCount val="9"/>
                <c:pt idx="0">
                  <c:v>0</c:v>
                </c:pt>
                <c:pt idx="1">
                  <c:v>0</c:v>
                </c:pt>
                <c:pt idx="2">
                  <c:v>0</c:v>
                </c:pt>
                <c:pt idx="3">
                  <c:v>0</c:v>
                </c:pt>
                <c:pt idx="4">
                  <c:v>0</c:v>
                </c:pt>
                <c:pt idx="5">
                  <c:v>0</c:v>
                </c:pt>
                <c:pt idx="6">
                  <c:v>0</c:v>
                </c:pt>
                <c:pt idx="7">
                  <c:v>0</c:v>
                </c:pt>
                <c:pt idx="8">
                  <c:v>0</c:v>
                </c:pt>
              </c:numCache>
            </c:numRef>
          </c:cat>
          <c:val>
            <c:numRef>
              <c:f>'Condition A'!$D$928:$D$936</c:f>
              <c:numCache>
                <c:formatCode>0.0</c:formatCode>
                <c:ptCount val="9"/>
                <c:pt idx="0">
                  <c:v>0</c:v>
                </c:pt>
                <c:pt idx="1">
                  <c:v>0</c:v>
                </c:pt>
                <c:pt idx="2">
                  <c:v>0</c:v>
                </c:pt>
                <c:pt idx="3">
                  <c:v>0</c:v>
                </c:pt>
                <c:pt idx="4">
                  <c:v>0</c:v>
                </c:pt>
                <c:pt idx="5">
                  <c:v>0</c:v>
                </c:pt>
                <c:pt idx="6">
                  <c:v>0</c:v>
                </c:pt>
                <c:pt idx="7">
                  <c:v>0</c:v>
                </c:pt>
                <c:pt idx="8">
                  <c:v>0</c:v>
                </c:pt>
              </c:numCache>
            </c:numRef>
          </c:val>
        </c:ser>
        <c:axId val="91990656"/>
        <c:axId val="82588032"/>
      </c:barChart>
      <c:catAx>
        <c:axId val="91990656"/>
        <c:scaling>
          <c:orientation val="minMax"/>
        </c:scaling>
        <c:axPos val="b"/>
        <c:numFmt formatCode="General" sourceLinked="1"/>
        <c:majorTickMark val="none"/>
        <c:tickLblPos val="nextTo"/>
        <c:crossAx val="82588032"/>
        <c:crosses val="autoZero"/>
        <c:auto val="1"/>
        <c:lblAlgn val="ctr"/>
        <c:lblOffset val="100"/>
      </c:catAx>
      <c:valAx>
        <c:axId val="82588032"/>
        <c:scaling>
          <c:orientation val="minMax"/>
          <c:max val="1"/>
        </c:scaling>
        <c:axPos val="l"/>
        <c:majorGridlines/>
        <c:numFmt formatCode="0.0" sourceLinked="1"/>
        <c:majorTickMark val="none"/>
        <c:tickLblPos val="nextTo"/>
        <c:crossAx val="91990656"/>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E"/>
  <c:chart>
    <c:title>
      <c:tx>
        <c:strRef>
          <c:f>OverallResults!$A$119</c:f>
          <c:strCache>
            <c:ptCount val="1"/>
            <c:pt idx="0">
              <c:v>Times the meals are served?</c:v>
            </c:pt>
          </c:strCache>
        </c:strRef>
      </c:tx>
    </c:title>
    <c:plotArea>
      <c:layout/>
      <c:barChart>
        <c:barDir val="col"/>
        <c:grouping val="clustered"/>
        <c:ser>
          <c:idx val="0"/>
          <c:order val="0"/>
          <c:dLbls>
            <c:showVal val="1"/>
          </c:dLbls>
          <c:cat>
            <c:strRef>
              <c:f>OverallResults!$A$121:$A$123</c:f>
              <c:strCache>
                <c:ptCount val="3"/>
                <c:pt idx="0">
                  <c:v>Happy</c:v>
                </c:pt>
                <c:pt idx="1">
                  <c:v>Neutral</c:v>
                </c:pt>
                <c:pt idx="2">
                  <c:v>Unhappy</c:v>
                </c:pt>
              </c:strCache>
            </c:strRef>
          </c:cat>
          <c:val>
            <c:numRef>
              <c:f>OverallResults!$D$121:$D$123</c:f>
              <c:numCache>
                <c:formatCode>0.0</c:formatCode>
                <c:ptCount val="3"/>
                <c:pt idx="0">
                  <c:v>0</c:v>
                </c:pt>
                <c:pt idx="1">
                  <c:v>0</c:v>
                </c:pt>
                <c:pt idx="2">
                  <c:v>0</c:v>
                </c:pt>
              </c:numCache>
            </c:numRef>
          </c:val>
        </c:ser>
        <c:axId val="74996736"/>
        <c:axId val="75002624"/>
      </c:barChart>
      <c:catAx>
        <c:axId val="74996736"/>
        <c:scaling>
          <c:orientation val="minMax"/>
        </c:scaling>
        <c:axPos val="b"/>
        <c:numFmt formatCode="General" sourceLinked="1"/>
        <c:majorTickMark val="none"/>
        <c:tickLblPos val="nextTo"/>
        <c:crossAx val="75002624"/>
        <c:crosses val="autoZero"/>
        <c:auto val="1"/>
        <c:lblAlgn val="ctr"/>
        <c:lblOffset val="100"/>
      </c:catAx>
      <c:valAx>
        <c:axId val="75002624"/>
        <c:scaling>
          <c:orientation val="minMax"/>
          <c:max val="100"/>
        </c:scaling>
        <c:axPos val="l"/>
        <c:majorGridlines/>
        <c:numFmt formatCode="0.0" sourceLinked="1"/>
        <c:majorTickMark val="none"/>
        <c:tickLblPos val="nextTo"/>
        <c:crossAx val="74996736"/>
        <c:crosses val="autoZero"/>
        <c:crossBetween val="between"/>
      </c:valAx>
    </c:plotArea>
    <c:plotVisOnly val="1"/>
    <c:dispBlanksAs val="gap"/>
  </c:chart>
  <c:printSettings>
    <c:headerFooter/>
    <c:pageMargins b="0.75000000000000666" l="0.70000000000000062" r="0.70000000000000062" t="0.750000000000006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E"/>
  <c:chart>
    <c:title>
      <c:tx>
        <c:strRef>
          <c:f>OverallResults!$A$128</c:f>
          <c:strCache>
            <c:ptCount val="1"/>
            <c:pt idx="0">
              <c:v>Amount of time you get to eat your meal?</c:v>
            </c:pt>
          </c:strCache>
        </c:strRef>
      </c:tx>
    </c:title>
    <c:plotArea>
      <c:layout/>
      <c:barChart>
        <c:barDir val="col"/>
        <c:grouping val="clustered"/>
        <c:ser>
          <c:idx val="0"/>
          <c:order val="0"/>
          <c:dLbls>
            <c:showVal val="1"/>
          </c:dLbls>
          <c:cat>
            <c:strRef>
              <c:f>OverallResults!$A$130:$A$132</c:f>
              <c:strCache>
                <c:ptCount val="3"/>
                <c:pt idx="0">
                  <c:v>Happy</c:v>
                </c:pt>
                <c:pt idx="1">
                  <c:v>Neutral</c:v>
                </c:pt>
                <c:pt idx="2">
                  <c:v>Unhappy</c:v>
                </c:pt>
              </c:strCache>
            </c:strRef>
          </c:cat>
          <c:val>
            <c:numRef>
              <c:f>OverallResults!$D$130:$D$132</c:f>
              <c:numCache>
                <c:formatCode>0.0</c:formatCode>
                <c:ptCount val="3"/>
                <c:pt idx="0">
                  <c:v>0</c:v>
                </c:pt>
                <c:pt idx="1">
                  <c:v>0</c:v>
                </c:pt>
                <c:pt idx="2">
                  <c:v>0</c:v>
                </c:pt>
              </c:numCache>
            </c:numRef>
          </c:val>
        </c:ser>
        <c:axId val="75030912"/>
        <c:axId val="75032448"/>
      </c:barChart>
      <c:catAx>
        <c:axId val="75030912"/>
        <c:scaling>
          <c:orientation val="minMax"/>
        </c:scaling>
        <c:axPos val="b"/>
        <c:numFmt formatCode="General" sourceLinked="1"/>
        <c:majorTickMark val="none"/>
        <c:tickLblPos val="nextTo"/>
        <c:crossAx val="75032448"/>
        <c:crosses val="autoZero"/>
        <c:auto val="1"/>
        <c:lblAlgn val="ctr"/>
        <c:lblOffset val="100"/>
      </c:catAx>
      <c:valAx>
        <c:axId val="75032448"/>
        <c:scaling>
          <c:orientation val="minMax"/>
          <c:max val="100"/>
        </c:scaling>
        <c:axPos val="l"/>
        <c:majorGridlines/>
        <c:numFmt formatCode="0.0" sourceLinked="1"/>
        <c:majorTickMark val="none"/>
        <c:tickLblPos val="nextTo"/>
        <c:crossAx val="75030912"/>
        <c:crosses val="autoZero"/>
        <c:crossBetween val="between"/>
      </c:valAx>
    </c:plotArea>
    <c:plotVisOnly val="1"/>
    <c:dispBlanksAs val="gap"/>
  </c:chart>
  <c:printSettings>
    <c:headerFooter/>
    <c:pageMargins b="0.75000000000000688" l="0.70000000000000062" r="0.70000000000000062" t="0.750000000000006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E"/>
  <c:chart>
    <c:title>
      <c:tx>
        <c:strRef>
          <c:f>OverallResults!$A$137</c:f>
          <c:strCache>
            <c:ptCount val="1"/>
            <c:pt idx="0">
              <c:v>Access to drinks and snacks outside of mealtimes?</c:v>
            </c:pt>
          </c:strCache>
        </c:strRef>
      </c:tx>
    </c:title>
    <c:plotArea>
      <c:layout/>
      <c:barChart>
        <c:barDir val="col"/>
        <c:grouping val="clustered"/>
        <c:ser>
          <c:idx val="0"/>
          <c:order val="0"/>
          <c:dLbls>
            <c:showVal val="1"/>
          </c:dLbls>
          <c:cat>
            <c:strRef>
              <c:f>OverallResults!$A$139:$A$141</c:f>
              <c:strCache>
                <c:ptCount val="3"/>
                <c:pt idx="0">
                  <c:v>Happy</c:v>
                </c:pt>
                <c:pt idx="1">
                  <c:v>Neutral</c:v>
                </c:pt>
                <c:pt idx="2">
                  <c:v>Unhappy</c:v>
                </c:pt>
              </c:strCache>
            </c:strRef>
          </c:cat>
          <c:val>
            <c:numRef>
              <c:f>OverallResults!$D$139:$D$141</c:f>
              <c:numCache>
                <c:formatCode>0.0</c:formatCode>
                <c:ptCount val="3"/>
                <c:pt idx="0">
                  <c:v>0</c:v>
                </c:pt>
                <c:pt idx="1">
                  <c:v>0</c:v>
                </c:pt>
                <c:pt idx="2">
                  <c:v>0</c:v>
                </c:pt>
              </c:numCache>
            </c:numRef>
          </c:val>
        </c:ser>
        <c:axId val="75130368"/>
        <c:axId val="75131904"/>
      </c:barChart>
      <c:catAx>
        <c:axId val="75130368"/>
        <c:scaling>
          <c:orientation val="minMax"/>
        </c:scaling>
        <c:axPos val="b"/>
        <c:numFmt formatCode="General" sourceLinked="1"/>
        <c:majorTickMark val="none"/>
        <c:tickLblPos val="nextTo"/>
        <c:crossAx val="75131904"/>
        <c:crosses val="autoZero"/>
        <c:auto val="1"/>
        <c:lblAlgn val="ctr"/>
        <c:lblOffset val="100"/>
      </c:catAx>
      <c:valAx>
        <c:axId val="75131904"/>
        <c:scaling>
          <c:orientation val="minMax"/>
          <c:max val="100"/>
        </c:scaling>
        <c:axPos val="l"/>
        <c:majorGridlines/>
        <c:numFmt formatCode="0.0" sourceLinked="1"/>
        <c:majorTickMark val="none"/>
        <c:tickLblPos val="nextTo"/>
        <c:crossAx val="75130368"/>
        <c:crosses val="autoZero"/>
        <c:crossBetween val="between"/>
      </c:valAx>
    </c:plotArea>
    <c:plotVisOnly val="1"/>
    <c:dispBlanksAs val="gap"/>
  </c:chart>
  <c:printSettings>
    <c:headerFooter/>
    <c:pageMargins b="0.75000000000000711" l="0.70000000000000062" r="0.70000000000000062" t="0.750000000000007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E"/>
  <c:chart>
    <c:title>
      <c:tx>
        <c:strRef>
          <c:f>OverallResults!$A$146</c:f>
          <c:strCache>
            <c:ptCount val="1"/>
            <c:pt idx="0">
              <c:v>Arrangements for grocery shopping?</c:v>
            </c:pt>
          </c:strCache>
        </c:strRef>
      </c:tx>
    </c:title>
    <c:plotArea>
      <c:layout/>
      <c:barChart>
        <c:barDir val="col"/>
        <c:grouping val="clustered"/>
        <c:ser>
          <c:idx val="0"/>
          <c:order val="0"/>
          <c:dLbls>
            <c:showVal val="1"/>
          </c:dLbls>
          <c:cat>
            <c:strRef>
              <c:f>OverallResults!$A$148:$A$150</c:f>
              <c:strCache>
                <c:ptCount val="3"/>
                <c:pt idx="0">
                  <c:v>Happy</c:v>
                </c:pt>
                <c:pt idx="1">
                  <c:v>Neutral</c:v>
                </c:pt>
                <c:pt idx="2">
                  <c:v>Unhappy</c:v>
                </c:pt>
              </c:strCache>
            </c:strRef>
          </c:cat>
          <c:val>
            <c:numRef>
              <c:f>OverallResults!$D$148:$D$150</c:f>
              <c:numCache>
                <c:formatCode>0.0</c:formatCode>
                <c:ptCount val="3"/>
                <c:pt idx="0">
                  <c:v>0</c:v>
                </c:pt>
                <c:pt idx="1">
                  <c:v>0</c:v>
                </c:pt>
                <c:pt idx="2">
                  <c:v>0</c:v>
                </c:pt>
              </c:numCache>
            </c:numRef>
          </c:val>
        </c:ser>
        <c:axId val="75164288"/>
        <c:axId val="75170176"/>
      </c:barChart>
      <c:catAx>
        <c:axId val="75164288"/>
        <c:scaling>
          <c:orientation val="minMax"/>
        </c:scaling>
        <c:axPos val="b"/>
        <c:numFmt formatCode="General" sourceLinked="1"/>
        <c:majorTickMark val="none"/>
        <c:tickLblPos val="nextTo"/>
        <c:crossAx val="75170176"/>
        <c:crosses val="autoZero"/>
        <c:auto val="1"/>
        <c:lblAlgn val="ctr"/>
        <c:lblOffset val="100"/>
      </c:catAx>
      <c:valAx>
        <c:axId val="75170176"/>
        <c:scaling>
          <c:orientation val="minMax"/>
          <c:max val="100"/>
        </c:scaling>
        <c:axPos val="l"/>
        <c:majorGridlines/>
        <c:numFmt formatCode="0.0" sourceLinked="1"/>
        <c:majorTickMark val="none"/>
        <c:tickLblPos val="nextTo"/>
        <c:crossAx val="75164288"/>
        <c:crosses val="autoZero"/>
        <c:crossBetween val="between"/>
      </c:valAx>
    </c:plotArea>
    <c:plotVisOnly val="1"/>
    <c:dispBlanksAs val="gap"/>
  </c:chart>
  <c:printSettings>
    <c:headerFooter/>
    <c:pageMargins b="0.75000000000000733" l="0.70000000000000062" r="0.70000000000000062" t="0.750000000000007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IE"/>
  <c:chart>
    <c:title>
      <c:tx>
        <c:strRef>
          <c:f>OverallResults!$A$155</c:f>
          <c:strCache>
            <c:ptCount val="1"/>
            <c:pt idx="0">
              <c:v>Cooking and dining facilities available?</c:v>
            </c:pt>
          </c:strCache>
        </c:strRef>
      </c:tx>
    </c:title>
    <c:plotArea>
      <c:layout/>
      <c:barChart>
        <c:barDir val="col"/>
        <c:grouping val="clustered"/>
        <c:ser>
          <c:idx val="0"/>
          <c:order val="0"/>
          <c:dLbls>
            <c:showVal val="1"/>
          </c:dLbls>
          <c:cat>
            <c:strRef>
              <c:f>OverallResults!$A$157:$A$159</c:f>
              <c:strCache>
                <c:ptCount val="3"/>
                <c:pt idx="0">
                  <c:v>Happy</c:v>
                </c:pt>
                <c:pt idx="1">
                  <c:v>Neutral</c:v>
                </c:pt>
                <c:pt idx="2">
                  <c:v>Unhappy</c:v>
                </c:pt>
              </c:strCache>
            </c:strRef>
          </c:cat>
          <c:val>
            <c:numRef>
              <c:f>OverallResults!$D$157:$D$159</c:f>
              <c:numCache>
                <c:formatCode>0.0</c:formatCode>
                <c:ptCount val="3"/>
                <c:pt idx="0">
                  <c:v>0</c:v>
                </c:pt>
                <c:pt idx="1">
                  <c:v>0</c:v>
                </c:pt>
                <c:pt idx="2">
                  <c:v>0</c:v>
                </c:pt>
              </c:numCache>
            </c:numRef>
          </c:val>
        </c:ser>
        <c:axId val="75202560"/>
        <c:axId val="75204096"/>
      </c:barChart>
      <c:catAx>
        <c:axId val="75202560"/>
        <c:scaling>
          <c:orientation val="minMax"/>
        </c:scaling>
        <c:axPos val="b"/>
        <c:numFmt formatCode="General" sourceLinked="1"/>
        <c:majorTickMark val="none"/>
        <c:tickLblPos val="nextTo"/>
        <c:crossAx val="75204096"/>
        <c:crosses val="autoZero"/>
        <c:auto val="1"/>
        <c:lblAlgn val="ctr"/>
        <c:lblOffset val="100"/>
      </c:catAx>
      <c:valAx>
        <c:axId val="75204096"/>
        <c:scaling>
          <c:orientation val="minMax"/>
          <c:max val="100"/>
        </c:scaling>
        <c:axPos val="l"/>
        <c:majorGridlines/>
        <c:numFmt formatCode="0.0" sourceLinked="1"/>
        <c:majorTickMark val="none"/>
        <c:tickLblPos val="nextTo"/>
        <c:crossAx val="75202560"/>
        <c:crosses val="autoZero"/>
        <c:crossBetween val="between"/>
      </c:valAx>
    </c:plotArea>
    <c:plotVisOnly val="1"/>
    <c:dispBlanksAs val="gap"/>
  </c:chart>
  <c:printSettings>
    <c:headerFooter/>
    <c:pageMargins b="0.75000000000000755" l="0.70000000000000062" r="0.70000000000000062" t="0.750000000000007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IE"/>
  <c:chart>
    <c:title>
      <c:tx>
        <c:strRef>
          <c:f>OverallResults!$A$164</c:f>
          <c:strCache>
            <c:ptCount val="1"/>
            <c:pt idx="0">
              <c:v>The arrangements for visitors?</c:v>
            </c:pt>
          </c:strCache>
        </c:strRef>
      </c:tx>
    </c:title>
    <c:plotArea>
      <c:layout/>
      <c:barChart>
        <c:barDir val="col"/>
        <c:grouping val="clustered"/>
        <c:ser>
          <c:idx val="0"/>
          <c:order val="0"/>
          <c:dLbls>
            <c:showVal val="1"/>
          </c:dLbls>
          <c:cat>
            <c:strRef>
              <c:f>OverallResults!$A$166:$A$168</c:f>
              <c:strCache>
                <c:ptCount val="3"/>
                <c:pt idx="0">
                  <c:v>Happy</c:v>
                </c:pt>
                <c:pt idx="1">
                  <c:v>Neutral</c:v>
                </c:pt>
                <c:pt idx="2">
                  <c:v>Unhappy</c:v>
                </c:pt>
              </c:strCache>
            </c:strRef>
          </c:cat>
          <c:val>
            <c:numRef>
              <c:f>OverallResults!$D$166:$D$168</c:f>
              <c:numCache>
                <c:formatCode>0.0</c:formatCode>
                <c:ptCount val="3"/>
                <c:pt idx="0">
                  <c:v>0</c:v>
                </c:pt>
                <c:pt idx="1">
                  <c:v>0</c:v>
                </c:pt>
                <c:pt idx="2">
                  <c:v>0</c:v>
                </c:pt>
              </c:numCache>
            </c:numRef>
          </c:val>
        </c:ser>
        <c:axId val="75232384"/>
        <c:axId val="75233920"/>
      </c:barChart>
      <c:catAx>
        <c:axId val="75232384"/>
        <c:scaling>
          <c:orientation val="minMax"/>
        </c:scaling>
        <c:axPos val="b"/>
        <c:numFmt formatCode="General" sourceLinked="1"/>
        <c:majorTickMark val="none"/>
        <c:tickLblPos val="nextTo"/>
        <c:crossAx val="75233920"/>
        <c:crosses val="autoZero"/>
        <c:auto val="1"/>
        <c:lblAlgn val="ctr"/>
        <c:lblOffset val="100"/>
      </c:catAx>
      <c:valAx>
        <c:axId val="75233920"/>
        <c:scaling>
          <c:orientation val="minMax"/>
          <c:max val="100"/>
        </c:scaling>
        <c:axPos val="l"/>
        <c:majorGridlines/>
        <c:numFmt formatCode="0.0" sourceLinked="1"/>
        <c:majorTickMark val="none"/>
        <c:tickLblPos val="nextTo"/>
        <c:crossAx val="75232384"/>
        <c:crosses val="autoZero"/>
        <c:crossBetween val="between"/>
      </c:valAx>
    </c:plotArea>
    <c:plotVisOnly val="1"/>
    <c:dispBlanksAs val="gap"/>
  </c:chart>
  <c:printSettings>
    <c:headerFooter/>
    <c:pageMargins b="0.75000000000000777" l="0.70000000000000062" r="0.70000000000000062" t="0.750000000000007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IE"/>
  <c:chart>
    <c:title>
      <c:tx>
        <c:strRef>
          <c:f>OverallResults!$A$173</c:f>
          <c:strCache>
            <c:ptCount val="1"/>
            <c:pt idx="0">
              <c:v>The welcome your visitors get from staff?</c:v>
            </c:pt>
          </c:strCache>
        </c:strRef>
      </c:tx>
    </c:title>
    <c:plotArea>
      <c:layout/>
      <c:barChart>
        <c:barDir val="col"/>
        <c:grouping val="clustered"/>
        <c:ser>
          <c:idx val="0"/>
          <c:order val="0"/>
          <c:dLbls>
            <c:showVal val="1"/>
          </c:dLbls>
          <c:cat>
            <c:strRef>
              <c:f>OverallResults!$A$175:$A$177</c:f>
              <c:strCache>
                <c:ptCount val="3"/>
                <c:pt idx="0">
                  <c:v>Happy</c:v>
                </c:pt>
                <c:pt idx="1">
                  <c:v>Neutral</c:v>
                </c:pt>
                <c:pt idx="2">
                  <c:v>Unhappy</c:v>
                </c:pt>
              </c:strCache>
            </c:strRef>
          </c:cat>
          <c:val>
            <c:numRef>
              <c:f>OverallResults!$D$175:$D$177</c:f>
              <c:numCache>
                <c:formatCode>0.0</c:formatCode>
                <c:ptCount val="3"/>
                <c:pt idx="0">
                  <c:v>0</c:v>
                </c:pt>
                <c:pt idx="1">
                  <c:v>0</c:v>
                </c:pt>
                <c:pt idx="2">
                  <c:v>0</c:v>
                </c:pt>
              </c:numCache>
            </c:numRef>
          </c:val>
        </c:ser>
        <c:axId val="75241728"/>
        <c:axId val="75272192"/>
      </c:barChart>
      <c:catAx>
        <c:axId val="75241728"/>
        <c:scaling>
          <c:orientation val="minMax"/>
        </c:scaling>
        <c:axPos val="b"/>
        <c:numFmt formatCode="General" sourceLinked="1"/>
        <c:majorTickMark val="none"/>
        <c:tickLblPos val="nextTo"/>
        <c:crossAx val="75272192"/>
        <c:crosses val="autoZero"/>
        <c:auto val="1"/>
        <c:lblAlgn val="ctr"/>
        <c:lblOffset val="100"/>
      </c:catAx>
      <c:valAx>
        <c:axId val="75272192"/>
        <c:scaling>
          <c:orientation val="minMax"/>
          <c:max val="100"/>
        </c:scaling>
        <c:axPos val="l"/>
        <c:majorGridlines/>
        <c:numFmt formatCode="0.0" sourceLinked="1"/>
        <c:majorTickMark val="none"/>
        <c:tickLblPos val="nextTo"/>
        <c:crossAx val="75241728"/>
        <c:crosses val="autoZero"/>
        <c:crossBetween val="between"/>
      </c:valAx>
    </c:plotArea>
    <c:plotVisOnly val="1"/>
    <c:dispBlanksAs val="gap"/>
  </c:chart>
  <c:printSettings>
    <c:headerFooter/>
    <c:pageMargins b="0.75000000000000799" l="0.70000000000000062" r="0.70000000000000062" t="0.750000000000007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E"/>
  <c:chart>
    <c:title>
      <c:tx>
        <c:strRef>
          <c:f>OverallResults!$A$19</c:f>
          <c:strCache>
            <c:ptCount val="1"/>
            <c:pt idx="0">
              <c:v>How warm is your centre? </c:v>
            </c:pt>
          </c:strCache>
        </c:strRef>
      </c:tx>
    </c:title>
    <c:plotArea>
      <c:layout/>
      <c:barChart>
        <c:barDir val="col"/>
        <c:grouping val="clustered"/>
        <c:ser>
          <c:idx val="0"/>
          <c:order val="0"/>
          <c:dLbls>
            <c:showVal val="1"/>
          </c:dLbls>
          <c:cat>
            <c:strRef>
              <c:f>OverallResults!$A$21:$A$23</c:f>
              <c:strCache>
                <c:ptCount val="3"/>
                <c:pt idx="0">
                  <c:v>Happy</c:v>
                </c:pt>
                <c:pt idx="1">
                  <c:v>Neutral</c:v>
                </c:pt>
                <c:pt idx="2">
                  <c:v>Unhappy</c:v>
                </c:pt>
              </c:strCache>
            </c:strRef>
          </c:cat>
          <c:val>
            <c:numRef>
              <c:f>OverallResults!$D$21:$D$23</c:f>
              <c:numCache>
                <c:formatCode>0.0</c:formatCode>
                <c:ptCount val="3"/>
                <c:pt idx="0">
                  <c:v>0</c:v>
                </c:pt>
                <c:pt idx="1">
                  <c:v>0</c:v>
                </c:pt>
                <c:pt idx="2">
                  <c:v>0</c:v>
                </c:pt>
              </c:numCache>
            </c:numRef>
          </c:val>
        </c:ser>
        <c:axId val="73431296"/>
        <c:axId val="73449472"/>
      </c:barChart>
      <c:catAx>
        <c:axId val="73431296"/>
        <c:scaling>
          <c:orientation val="minMax"/>
        </c:scaling>
        <c:axPos val="b"/>
        <c:numFmt formatCode="General" sourceLinked="1"/>
        <c:majorTickMark val="none"/>
        <c:tickLblPos val="nextTo"/>
        <c:crossAx val="73449472"/>
        <c:crosses val="autoZero"/>
        <c:auto val="1"/>
        <c:lblAlgn val="ctr"/>
        <c:lblOffset val="100"/>
      </c:catAx>
      <c:valAx>
        <c:axId val="73449472"/>
        <c:scaling>
          <c:orientation val="minMax"/>
          <c:max val="100"/>
        </c:scaling>
        <c:axPos val="l"/>
        <c:majorGridlines/>
        <c:numFmt formatCode="0.0" sourceLinked="1"/>
        <c:majorTickMark val="none"/>
        <c:tickLblPos val="nextTo"/>
        <c:crossAx val="73431296"/>
        <c:crosses val="autoZero"/>
        <c:crossBetween val="between"/>
      </c:valAx>
    </c:plotArea>
    <c:plotVisOnly val="1"/>
    <c:dispBlanksAs val="gap"/>
  </c:chart>
  <c:printSettings>
    <c:headerFooter/>
    <c:pageMargins b="0.75000000000000422" l="0.70000000000000062" r="0.70000000000000062" t="0.750000000000004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IE"/>
  <c:chart>
    <c:title>
      <c:tx>
        <c:strRef>
          <c:f>OverallResults!$A$182</c:f>
          <c:strCache>
            <c:ptCount val="1"/>
            <c:pt idx="0">
              <c:v>What time to get up?</c:v>
            </c:pt>
          </c:strCache>
        </c:strRef>
      </c:tx>
    </c:title>
    <c:plotArea>
      <c:layout/>
      <c:barChart>
        <c:barDir val="col"/>
        <c:grouping val="clustered"/>
        <c:ser>
          <c:idx val="0"/>
          <c:order val="0"/>
          <c:dLbls>
            <c:showVal val="1"/>
          </c:dLbls>
          <c:cat>
            <c:strRef>
              <c:f>OverallResults!$A$184:$A$186</c:f>
              <c:strCache>
                <c:ptCount val="3"/>
                <c:pt idx="0">
                  <c:v>Happy</c:v>
                </c:pt>
                <c:pt idx="1">
                  <c:v>Neutral</c:v>
                </c:pt>
                <c:pt idx="2">
                  <c:v>Unhappy</c:v>
                </c:pt>
              </c:strCache>
            </c:strRef>
          </c:cat>
          <c:val>
            <c:numRef>
              <c:f>OverallResults!$D$184:$D$186</c:f>
              <c:numCache>
                <c:formatCode>0.0</c:formatCode>
                <c:ptCount val="3"/>
                <c:pt idx="0">
                  <c:v>0</c:v>
                </c:pt>
                <c:pt idx="1">
                  <c:v>0</c:v>
                </c:pt>
                <c:pt idx="2">
                  <c:v>0</c:v>
                </c:pt>
              </c:numCache>
            </c:numRef>
          </c:val>
        </c:ser>
        <c:axId val="75383936"/>
        <c:axId val="75385472"/>
      </c:barChart>
      <c:catAx>
        <c:axId val="75383936"/>
        <c:scaling>
          <c:orientation val="minMax"/>
        </c:scaling>
        <c:axPos val="b"/>
        <c:numFmt formatCode="General" sourceLinked="1"/>
        <c:majorTickMark val="none"/>
        <c:tickLblPos val="nextTo"/>
        <c:txPr>
          <a:bodyPr/>
          <a:lstStyle/>
          <a:p>
            <a:pPr>
              <a:defRPr sz="800"/>
            </a:pPr>
            <a:endParaRPr lang="en-US"/>
          </a:p>
        </c:txPr>
        <c:crossAx val="75385472"/>
        <c:crosses val="autoZero"/>
        <c:auto val="1"/>
        <c:lblAlgn val="ctr"/>
        <c:lblOffset val="100"/>
      </c:catAx>
      <c:valAx>
        <c:axId val="75385472"/>
        <c:scaling>
          <c:orientation val="minMax"/>
          <c:max val="100"/>
        </c:scaling>
        <c:axPos val="l"/>
        <c:majorGridlines/>
        <c:numFmt formatCode="0.0" sourceLinked="1"/>
        <c:majorTickMark val="none"/>
        <c:tickLblPos val="nextTo"/>
        <c:crossAx val="75383936"/>
        <c:crosses val="autoZero"/>
        <c:crossBetween val="between"/>
      </c:valAx>
    </c:plotArea>
    <c:plotVisOnly val="1"/>
    <c:dispBlanksAs val="gap"/>
  </c:chart>
  <c:printSettings>
    <c:headerFooter/>
    <c:pageMargins b="0.75000000000000822" l="0.70000000000000062" r="0.70000000000000062" t="0.750000000000008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IE"/>
  <c:chart>
    <c:title>
      <c:tx>
        <c:strRef>
          <c:f>OverallResults!$A$191</c:f>
          <c:strCache>
            <c:ptCount val="1"/>
            <c:pt idx="0">
              <c:v>When you go to bed?</c:v>
            </c:pt>
          </c:strCache>
        </c:strRef>
      </c:tx>
    </c:title>
    <c:plotArea>
      <c:layout/>
      <c:barChart>
        <c:barDir val="col"/>
        <c:grouping val="clustered"/>
        <c:ser>
          <c:idx val="0"/>
          <c:order val="0"/>
          <c:dLbls>
            <c:showVal val="1"/>
          </c:dLbls>
          <c:cat>
            <c:strRef>
              <c:f>OverallResults!$A$193:$A$195</c:f>
              <c:strCache>
                <c:ptCount val="3"/>
                <c:pt idx="0">
                  <c:v>Happy</c:v>
                </c:pt>
                <c:pt idx="1">
                  <c:v>Neutral</c:v>
                </c:pt>
                <c:pt idx="2">
                  <c:v>Unhappy</c:v>
                </c:pt>
              </c:strCache>
            </c:strRef>
          </c:cat>
          <c:val>
            <c:numRef>
              <c:f>OverallResults!$D$193:$D$195</c:f>
              <c:numCache>
                <c:formatCode>0.0</c:formatCode>
                <c:ptCount val="3"/>
                <c:pt idx="0">
                  <c:v>0</c:v>
                </c:pt>
                <c:pt idx="1">
                  <c:v>0</c:v>
                </c:pt>
                <c:pt idx="2">
                  <c:v>0</c:v>
                </c:pt>
              </c:numCache>
            </c:numRef>
          </c:val>
        </c:ser>
        <c:axId val="75416704"/>
        <c:axId val="75418240"/>
      </c:barChart>
      <c:catAx>
        <c:axId val="75416704"/>
        <c:scaling>
          <c:orientation val="minMax"/>
        </c:scaling>
        <c:axPos val="b"/>
        <c:numFmt formatCode="General" sourceLinked="1"/>
        <c:majorTickMark val="none"/>
        <c:tickLblPos val="nextTo"/>
        <c:crossAx val="75418240"/>
        <c:crosses val="autoZero"/>
        <c:auto val="1"/>
        <c:lblAlgn val="ctr"/>
        <c:lblOffset val="100"/>
      </c:catAx>
      <c:valAx>
        <c:axId val="75418240"/>
        <c:scaling>
          <c:orientation val="minMax"/>
          <c:max val="100"/>
        </c:scaling>
        <c:axPos val="l"/>
        <c:majorGridlines/>
        <c:numFmt formatCode="0.0" sourceLinked="1"/>
        <c:majorTickMark val="none"/>
        <c:tickLblPos val="nextTo"/>
        <c:crossAx val="75416704"/>
        <c:crosses val="autoZero"/>
        <c:crossBetween val="between"/>
      </c:valAx>
    </c:plotArea>
    <c:plotVisOnly val="1"/>
    <c:dispBlanksAs val="gap"/>
  </c:chart>
  <c:printSettings>
    <c:headerFooter/>
    <c:pageMargins b="0.75000000000000822" l="0.70000000000000062" r="0.70000000000000062" t="0.750000000000008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IE"/>
  <c:chart>
    <c:title>
      <c:tx>
        <c:strRef>
          <c:f>OverallResults!$A$200</c:f>
          <c:strCache>
            <c:ptCount val="1"/>
            <c:pt idx="0">
              <c:v>What you eat?</c:v>
            </c:pt>
          </c:strCache>
        </c:strRef>
      </c:tx>
    </c:title>
    <c:plotArea>
      <c:layout/>
      <c:barChart>
        <c:barDir val="col"/>
        <c:grouping val="clustered"/>
        <c:ser>
          <c:idx val="0"/>
          <c:order val="0"/>
          <c:dLbls>
            <c:showVal val="1"/>
          </c:dLbls>
          <c:cat>
            <c:strRef>
              <c:f>OverallResults!$A$202:$A$204</c:f>
              <c:strCache>
                <c:ptCount val="3"/>
                <c:pt idx="0">
                  <c:v>Happy</c:v>
                </c:pt>
                <c:pt idx="1">
                  <c:v>Neutral</c:v>
                </c:pt>
                <c:pt idx="2">
                  <c:v>Unhappy</c:v>
                </c:pt>
              </c:strCache>
            </c:strRef>
          </c:cat>
          <c:val>
            <c:numRef>
              <c:f>OverallResults!$D$202:$D$204</c:f>
              <c:numCache>
                <c:formatCode>0.0</c:formatCode>
                <c:ptCount val="3"/>
                <c:pt idx="0">
                  <c:v>0</c:v>
                </c:pt>
                <c:pt idx="1">
                  <c:v>0</c:v>
                </c:pt>
                <c:pt idx="2">
                  <c:v>0</c:v>
                </c:pt>
              </c:numCache>
            </c:numRef>
          </c:val>
        </c:ser>
        <c:axId val="75315456"/>
        <c:axId val="75321344"/>
      </c:barChart>
      <c:catAx>
        <c:axId val="75315456"/>
        <c:scaling>
          <c:orientation val="minMax"/>
        </c:scaling>
        <c:axPos val="b"/>
        <c:numFmt formatCode="General" sourceLinked="1"/>
        <c:majorTickMark val="none"/>
        <c:tickLblPos val="nextTo"/>
        <c:crossAx val="75321344"/>
        <c:crosses val="autoZero"/>
        <c:auto val="1"/>
        <c:lblAlgn val="ctr"/>
        <c:lblOffset val="100"/>
      </c:catAx>
      <c:valAx>
        <c:axId val="75321344"/>
        <c:scaling>
          <c:orientation val="minMax"/>
          <c:max val="100"/>
        </c:scaling>
        <c:axPos val="l"/>
        <c:majorGridlines/>
        <c:numFmt formatCode="0.0" sourceLinked="1"/>
        <c:majorTickMark val="none"/>
        <c:tickLblPos val="nextTo"/>
        <c:crossAx val="75315456"/>
        <c:crosses val="autoZero"/>
        <c:crossBetween val="between"/>
      </c:valAx>
    </c:plotArea>
    <c:plotVisOnly val="1"/>
    <c:dispBlanksAs val="gap"/>
  </c:chart>
  <c:printSettings>
    <c:headerFooter/>
    <c:pageMargins b="0.75000000000000777" l="0.70000000000000062" r="0.70000000000000062" t="0.750000000000007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IE"/>
  <c:chart>
    <c:title>
      <c:tx>
        <c:strRef>
          <c:f>OverallResults!$A$209</c:f>
          <c:strCache>
            <c:ptCount val="1"/>
            <c:pt idx="0">
              <c:v>What you wear?</c:v>
            </c:pt>
          </c:strCache>
        </c:strRef>
      </c:tx>
    </c:title>
    <c:plotArea>
      <c:layout/>
      <c:barChart>
        <c:barDir val="col"/>
        <c:grouping val="clustered"/>
        <c:ser>
          <c:idx val="0"/>
          <c:order val="0"/>
          <c:dLbls>
            <c:showVal val="1"/>
          </c:dLbls>
          <c:cat>
            <c:strRef>
              <c:f>OverallResults!$A$211:$A$213</c:f>
              <c:strCache>
                <c:ptCount val="3"/>
                <c:pt idx="0">
                  <c:v>Happy</c:v>
                </c:pt>
                <c:pt idx="1">
                  <c:v>Neutral</c:v>
                </c:pt>
                <c:pt idx="2">
                  <c:v>Unhappy</c:v>
                </c:pt>
              </c:strCache>
            </c:strRef>
          </c:cat>
          <c:val>
            <c:numRef>
              <c:f>OverallResults!$D$211:$D$213</c:f>
              <c:numCache>
                <c:formatCode>0.0</c:formatCode>
                <c:ptCount val="3"/>
                <c:pt idx="0">
                  <c:v>0</c:v>
                </c:pt>
                <c:pt idx="1">
                  <c:v>0</c:v>
                </c:pt>
                <c:pt idx="2">
                  <c:v>0</c:v>
                </c:pt>
              </c:numCache>
            </c:numRef>
          </c:val>
        </c:ser>
        <c:axId val="75353472"/>
        <c:axId val="75363456"/>
      </c:barChart>
      <c:catAx>
        <c:axId val="75353472"/>
        <c:scaling>
          <c:orientation val="minMax"/>
        </c:scaling>
        <c:axPos val="b"/>
        <c:numFmt formatCode="General" sourceLinked="1"/>
        <c:majorTickMark val="none"/>
        <c:tickLblPos val="nextTo"/>
        <c:crossAx val="75363456"/>
        <c:crosses val="autoZero"/>
        <c:auto val="1"/>
        <c:lblAlgn val="ctr"/>
        <c:lblOffset val="100"/>
      </c:catAx>
      <c:valAx>
        <c:axId val="75363456"/>
        <c:scaling>
          <c:orientation val="minMax"/>
          <c:max val="100"/>
        </c:scaling>
        <c:axPos val="l"/>
        <c:majorGridlines/>
        <c:numFmt formatCode="0.0" sourceLinked="1"/>
        <c:majorTickMark val="none"/>
        <c:tickLblPos val="nextTo"/>
        <c:crossAx val="75353472"/>
        <c:crosses val="autoZero"/>
        <c:crossBetween val="between"/>
      </c:valAx>
    </c:plotArea>
    <c:plotVisOnly val="1"/>
    <c:dispBlanksAs val="gap"/>
  </c:chart>
  <c:printSettings>
    <c:headerFooter/>
    <c:pageMargins b="0.75000000000000799" l="0.70000000000000062" r="0.70000000000000062" t="0.7500000000000079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IE"/>
  <c:chart>
    <c:title>
      <c:tx>
        <c:strRef>
          <c:f>OverallResults!$A$218</c:f>
          <c:strCache>
            <c:ptCount val="1"/>
            <c:pt idx="0">
              <c:v>The activities you take part in?</c:v>
            </c:pt>
          </c:strCache>
        </c:strRef>
      </c:tx>
    </c:title>
    <c:plotArea>
      <c:layout/>
      <c:barChart>
        <c:barDir val="col"/>
        <c:grouping val="clustered"/>
        <c:ser>
          <c:idx val="0"/>
          <c:order val="0"/>
          <c:dLbls>
            <c:showVal val="1"/>
          </c:dLbls>
          <c:cat>
            <c:strRef>
              <c:f>OverallResults!$A$220:$A$222</c:f>
              <c:strCache>
                <c:ptCount val="3"/>
                <c:pt idx="0">
                  <c:v>Happy</c:v>
                </c:pt>
                <c:pt idx="1">
                  <c:v>Neutral</c:v>
                </c:pt>
                <c:pt idx="2">
                  <c:v>Unhappy</c:v>
                </c:pt>
              </c:strCache>
            </c:strRef>
          </c:cat>
          <c:val>
            <c:numRef>
              <c:f>OverallResults!$D$220:$D$222</c:f>
              <c:numCache>
                <c:formatCode>0.0</c:formatCode>
                <c:ptCount val="3"/>
                <c:pt idx="0">
                  <c:v>0</c:v>
                </c:pt>
                <c:pt idx="1">
                  <c:v>0</c:v>
                </c:pt>
                <c:pt idx="2">
                  <c:v>0</c:v>
                </c:pt>
              </c:numCache>
            </c:numRef>
          </c:val>
        </c:ser>
        <c:axId val="75448704"/>
        <c:axId val="75450240"/>
      </c:barChart>
      <c:catAx>
        <c:axId val="75448704"/>
        <c:scaling>
          <c:orientation val="minMax"/>
        </c:scaling>
        <c:axPos val="b"/>
        <c:numFmt formatCode="General" sourceLinked="1"/>
        <c:majorTickMark val="none"/>
        <c:tickLblPos val="nextTo"/>
        <c:crossAx val="75450240"/>
        <c:crosses val="autoZero"/>
        <c:auto val="1"/>
        <c:lblAlgn val="ctr"/>
        <c:lblOffset val="100"/>
      </c:catAx>
      <c:valAx>
        <c:axId val="75450240"/>
        <c:scaling>
          <c:orientation val="minMax"/>
          <c:max val="100"/>
        </c:scaling>
        <c:axPos val="l"/>
        <c:majorGridlines/>
        <c:numFmt formatCode="0.0" sourceLinked="1"/>
        <c:majorTickMark val="none"/>
        <c:tickLblPos val="nextTo"/>
        <c:crossAx val="75448704"/>
        <c:crosses val="autoZero"/>
        <c:crossBetween val="between"/>
      </c:valAx>
    </c:plotArea>
    <c:plotVisOnly val="1"/>
    <c:dispBlanksAs val="gap"/>
  </c:chart>
  <c:printSettings>
    <c:headerFooter/>
    <c:pageMargins b="0.75000000000000822" l="0.70000000000000062" r="0.70000000000000062" t="0.750000000000008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IE"/>
  <c:chart>
    <c:title>
      <c:tx>
        <c:strRef>
          <c:f>OverallResults!$A$227</c:f>
          <c:strCache>
            <c:ptCount val="1"/>
            <c:pt idx="0">
              <c:v>The care and support you receive?</c:v>
            </c:pt>
          </c:strCache>
        </c:strRef>
      </c:tx>
    </c:title>
    <c:plotArea>
      <c:layout/>
      <c:barChart>
        <c:barDir val="col"/>
        <c:grouping val="clustered"/>
        <c:ser>
          <c:idx val="0"/>
          <c:order val="0"/>
          <c:dLbls>
            <c:showVal val="1"/>
          </c:dLbls>
          <c:cat>
            <c:strRef>
              <c:f>OverallResults!$A$229:$A$231</c:f>
              <c:strCache>
                <c:ptCount val="3"/>
                <c:pt idx="0">
                  <c:v>Happy</c:v>
                </c:pt>
                <c:pt idx="1">
                  <c:v>Neutral</c:v>
                </c:pt>
                <c:pt idx="2">
                  <c:v>Unhappy</c:v>
                </c:pt>
              </c:strCache>
            </c:strRef>
          </c:cat>
          <c:val>
            <c:numRef>
              <c:f>OverallResults!$D$229:$D$231</c:f>
              <c:numCache>
                <c:formatCode>0.0</c:formatCode>
                <c:ptCount val="3"/>
                <c:pt idx="0">
                  <c:v>0</c:v>
                </c:pt>
                <c:pt idx="1">
                  <c:v>0</c:v>
                </c:pt>
                <c:pt idx="2">
                  <c:v>0</c:v>
                </c:pt>
              </c:numCache>
            </c:numRef>
          </c:val>
        </c:ser>
        <c:axId val="75490816"/>
        <c:axId val="75492352"/>
      </c:barChart>
      <c:catAx>
        <c:axId val="75490816"/>
        <c:scaling>
          <c:orientation val="minMax"/>
        </c:scaling>
        <c:axPos val="b"/>
        <c:numFmt formatCode="General" sourceLinked="1"/>
        <c:majorTickMark val="none"/>
        <c:tickLblPos val="nextTo"/>
        <c:crossAx val="75492352"/>
        <c:crosses val="autoZero"/>
        <c:auto val="1"/>
        <c:lblAlgn val="ctr"/>
        <c:lblOffset val="100"/>
      </c:catAx>
      <c:valAx>
        <c:axId val="75492352"/>
        <c:scaling>
          <c:orientation val="minMax"/>
          <c:max val="100"/>
        </c:scaling>
        <c:axPos val="l"/>
        <c:majorGridlines/>
        <c:numFmt formatCode="0.0" sourceLinked="1"/>
        <c:majorTickMark val="none"/>
        <c:tickLblPos val="nextTo"/>
        <c:crossAx val="75490816"/>
        <c:crosses val="autoZero"/>
        <c:crossBetween val="between"/>
      </c:valAx>
    </c:plotArea>
    <c:plotVisOnly val="1"/>
    <c:dispBlanksAs val="gap"/>
  </c:chart>
  <c:printSettings>
    <c:headerFooter/>
    <c:pageMargins b="0.75000000000000844" l="0.70000000000000062" r="0.70000000000000062" t="0.750000000000008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IE"/>
  <c:chart>
    <c:title>
      <c:tx>
        <c:strRef>
          <c:f>OverallResults!$A$236</c:f>
          <c:strCache>
            <c:ptCount val="1"/>
            <c:pt idx="0">
              <c:v>The amount of privacy you have?</c:v>
            </c:pt>
          </c:strCache>
        </c:strRef>
      </c:tx>
    </c:title>
    <c:plotArea>
      <c:layout/>
      <c:barChart>
        <c:barDir val="col"/>
        <c:grouping val="clustered"/>
        <c:ser>
          <c:idx val="0"/>
          <c:order val="0"/>
          <c:dLbls>
            <c:showVal val="1"/>
          </c:dLbls>
          <c:cat>
            <c:strRef>
              <c:f>OverallResults!$A$238:$A$240</c:f>
              <c:strCache>
                <c:ptCount val="3"/>
                <c:pt idx="0">
                  <c:v>Happy</c:v>
                </c:pt>
                <c:pt idx="1">
                  <c:v>Neutral</c:v>
                </c:pt>
                <c:pt idx="2">
                  <c:v>Unhappy</c:v>
                </c:pt>
              </c:strCache>
            </c:strRef>
          </c:cat>
          <c:val>
            <c:numRef>
              <c:f>OverallResults!$D$238:$D$240</c:f>
              <c:numCache>
                <c:formatCode>0.0</c:formatCode>
                <c:ptCount val="3"/>
                <c:pt idx="0">
                  <c:v>0</c:v>
                </c:pt>
                <c:pt idx="1">
                  <c:v>0</c:v>
                </c:pt>
                <c:pt idx="2">
                  <c:v>0</c:v>
                </c:pt>
              </c:numCache>
            </c:numRef>
          </c:val>
        </c:ser>
        <c:axId val="75512448"/>
        <c:axId val="75530624"/>
      </c:barChart>
      <c:catAx>
        <c:axId val="75512448"/>
        <c:scaling>
          <c:orientation val="minMax"/>
        </c:scaling>
        <c:axPos val="b"/>
        <c:numFmt formatCode="General" sourceLinked="1"/>
        <c:majorTickMark val="none"/>
        <c:tickLblPos val="nextTo"/>
        <c:crossAx val="75530624"/>
        <c:crosses val="autoZero"/>
        <c:auto val="1"/>
        <c:lblAlgn val="ctr"/>
        <c:lblOffset val="100"/>
      </c:catAx>
      <c:valAx>
        <c:axId val="75530624"/>
        <c:scaling>
          <c:orientation val="minMax"/>
          <c:max val="100"/>
        </c:scaling>
        <c:axPos val="l"/>
        <c:majorGridlines/>
        <c:numFmt formatCode="0.0" sourceLinked="1"/>
        <c:majorTickMark val="none"/>
        <c:tickLblPos val="nextTo"/>
        <c:crossAx val="75512448"/>
        <c:crosses val="autoZero"/>
        <c:crossBetween val="between"/>
      </c:valAx>
    </c:plotArea>
    <c:plotVisOnly val="1"/>
    <c:dispBlanksAs val="gap"/>
  </c:chart>
  <c:printSettings>
    <c:headerFooter/>
    <c:pageMargins b="0.75000000000000866" l="0.70000000000000062" r="0.70000000000000062" t="0.750000000000008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IE"/>
  <c:chart>
    <c:title>
      <c:tx>
        <c:strRef>
          <c:f>OverallResults!$A$245</c:f>
          <c:strCache>
            <c:ptCount val="1"/>
            <c:pt idx="0">
              <c:v>How your respect and dignity is protected?</c:v>
            </c:pt>
          </c:strCache>
        </c:strRef>
      </c:tx>
    </c:title>
    <c:plotArea>
      <c:layout/>
      <c:barChart>
        <c:barDir val="col"/>
        <c:grouping val="clustered"/>
        <c:ser>
          <c:idx val="0"/>
          <c:order val="0"/>
          <c:dLbls>
            <c:showVal val="1"/>
          </c:dLbls>
          <c:cat>
            <c:strRef>
              <c:f>OverallResults!$A$247:$A$249</c:f>
              <c:strCache>
                <c:ptCount val="3"/>
                <c:pt idx="0">
                  <c:v>Happy</c:v>
                </c:pt>
                <c:pt idx="1">
                  <c:v>Neutral</c:v>
                </c:pt>
                <c:pt idx="2">
                  <c:v>Unhappy</c:v>
                </c:pt>
              </c:strCache>
            </c:strRef>
          </c:cat>
          <c:val>
            <c:numRef>
              <c:f>OverallResults!$D$247:$D$249</c:f>
              <c:numCache>
                <c:formatCode>0.0</c:formatCode>
                <c:ptCount val="3"/>
                <c:pt idx="0">
                  <c:v>0</c:v>
                </c:pt>
                <c:pt idx="1">
                  <c:v>0</c:v>
                </c:pt>
                <c:pt idx="2">
                  <c:v>0</c:v>
                </c:pt>
              </c:numCache>
            </c:numRef>
          </c:val>
        </c:ser>
        <c:axId val="75555200"/>
        <c:axId val="75556736"/>
      </c:barChart>
      <c:catAx>
        <c:axId val="75555200"/>
        <c:scaling>
          <c:orientation val="minMax"/>
        </c:scaling>
        <c:axPos val="b"/>
        <c:numFmt formatCode="General" sourceLinked="1"/>
        <c:majorTickMark val="none"/>
        <c:tickLblPos val="nextTo"/>
        <c:crossAx val="75556736"/>
        <c:crosses val="autoZero"/>
        <c:auto val="1"/>
        <c:lblAlgn val="ctr"/>
        <c:lblOffset val="100"/>
      </c:catAx>
      <c:valAx>
        <c:axId val="75556736"/>
        <c:scaling>
          <c:orientation val="minMax"/>
          <c:max val="100"/>
        </c:scaling>
        <c:axPos val="l"/>
        <c:majorGridlines/>
        <c:numFmt formatCode="0.0" sourceLinked="1"/>
        <c:majorTickMark val="none"/>
        <c:tickLblPos val="nextTo"/>
        <c:crossAx val="75555200"/>
        <c:crosses val="autoZero"/>
        <c:crossBetween val="between"/>
      </c:valAx>
    </c:plotArea>
    <c:plotVisOnly val="1"/>
    <c:dispBlanksAs val="gap"/>
  </c:chart>
  <c:printSettings>
    <c:headerFooter/>
    <c:pageMargins b="0.75000000000000888" l="0.70000000000000062" r="0.70000000000000062" t="0.750000000000008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IE"/>
  <c:chart>
    <c:title>
      <c:tx>
        <c:strRef>
          <c:f>OverallResults!$A$254</c:f>
          <c:strCache>
            <c:ptCount val="1"/>
            <c:pt idx="0">
              <c:v>How safe you feel?</c:v>
            </c:pt>
          </c:strCache>
        </c:strRef>
      </c:tx>
    </c:title>
    <c:plotArea>
      <c:layout/>
      <c:barChart>
        <c:barDir val="col"/>
        <c:grouping val="clustered"/>
        <c:ser>
          <c:idx val="0"/>
          <c:order val="0"/>
          <c:dLbls>
            <c:showVal val="1"/>
          </c:dLbls>
          <c:cat>
            <c:strRef>
              <c:f>OverallResults!$A$256:$A$258</c:f>
              <c:strCache>
                <c:ptCount val="3"/>
                <c:pt idx="0">
                  <c:v>Happy</c:v>
                </c:pt>
                <c:pt idx="1">
                  <c:v>Neutral</c:v>
                </c:pt>
                <c:pt idx="2">
                  <c:v>Unhappy</c:v>
                </c:pt>
              </c:strCache>
            </c:strRef>
          </c:cat>
          <c:val>
            <c:numRef>
              <c:f>OverallResults!$D$256:$D$258</c:f>
              <c:numCache>
                <c:formatCode>0.0</c:formatCode>
                <c:ptCount val="3"/>
                <c:pt idx="0">
                  <c:v>0</c:v>
                </c:pt>
                <c:pt idx="1">
                  <c:v>0</c:v>
                </c:pt>
                <c:pt idx="2">
                  <c:v>0</c:v>
                </c:pt>
              </c:numCache>
            </c:numRef>
          </c:val>
        </c:ser>
        <c:axId val="75577216"/>
        <c:axId val="75578752"/>
      </c:barChart>
      <c:catAx>
        <c:axId val="75577216"/>
        <c:scaling>
          <c:orientation val="minMax"/>
        </c:scaling>
        <c:axPos val="b"/>
        <c:numFmt formatCode="General" sourceLinked="1"/>
        <c:majorTickMark val="none"/>
        <c:tickLblPos val="nextTo"/>
        <c:crossAx val="75578752"/>
        <c:crosses val="autoZero"/>
        <c:auto val="1"/>
        <c:lblAlgn val="ctr"/>
        <c:lblOffset val="100"/>
      </c:catAx>
      <c:valAx>
        <c:axId val="75578752"/>
        <c:scaling>
          <c:orientation val="minMax"/>
          <c:max val="100"/>
        </c:scaling>
        <c:axPos val="l"/>
        <c:majorGridlines/>
        <c:numFmt formatCode="0.0" sourceLinked="1"/>
        <c:majorTickMark val="none"/>
        <c:tickLblPos val="nextTo"/>
        <c:crossAx val="75577216"/>
        <c:crosses val="autoZero"/>
        <c:crossBetween val="between"/>
      </c:valAx>
    </c:plotArea>
    <c:plotVisOnly val="1"/>
    <c:dispBlanksAs val="gap"/>
  </c:chart>
  <c:printSettings>
    <c:headerFooter/>
    <c:pageMargins b="0.7500000000000091" l="0.70000000000000062" r="0.70000000000000062" t="0.750000000000009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IE"/>
  <c:chart>
    <c:title>
      <c:tx>
        <c:strRef>
          <c:f>OverallResults!$A$263</c:f>
          <c:strCache>
            <c:ptCount val="1"/>
            <c:pt idx="0">
              <c:v>Your relationships with other residents?</c:v>
            </c:pt>
          </c:strCache>
        </c:strRef>
      </c:tx>
    </c:title>
    <c:plotArea>
      <c:layout/>
      <c:barChart>
        <c:barDir val="col"/>
        <c:grouping val="clustered"/>
        <c:ser>
          <c:idx val="0"/>
          <c:order val="0"/>
          <c:dLbls>
            <c:showVal val="1"/>
          </c:dLbls>
          <c:cat>
            <c:strRef>
              <c:f>OverallResults!$A$265:$A$267</c:f>
              <c:strCache>
                <c:ptCount val="3"/>
                <c:pt idx="0">
                  <c:v>Happy</c:v>
                </c:pt>
                <c:pt idx="1">
                  <c:v>Neutral</c:v>
                </c:pt>
                <c:pt idx="2">
                  <c:v>Unhappy</c:v>
                </c:pt>
              </c:strCache>
            </c:strRef>
          </c:cat>
          <c:val>
            <c:numRef>
              <c:f>OverallResults!$D$265:$D$267</c:f>
              <c:numCache>
                <c:formatCode>0.0</c:formatCode>
                <c:ptCount val="3"/>
                <c:pt idx="0">
                  <c:v>0</c:v>
                </c:pt>
                <c:pt idx="1">
                  <c:v>0</c:v>
                </c:pt>
                <c:pt idx="2">
                  <c:v>0</c:v>
                </c:pt>
              </c:numCache>
            </c:numRef>
          </c:val>
        </c:ser>
        <c:axId val="75615232"/>
        <c:axId val="75625216"/>
      </c:barChart>
      <c:catAx>
        <c:axId val="75615232"/>
        <c:scaling>
          <c:orientation val="minMax"/>
        </c:scaling>
        <c:axPos val="b"/>
        <c:numFmt formatCode="General" sourceLinked="1"/>
        <c:majorTickMark val="none"/>
        <c:tickLblPos val="nextTo"/>
        <c:crossAx val="75625216"/>
        <c:crosses val="autoZero"/>
        <c:auto val="1"/>
        <c:lblAlgn val="ctr"/>
        <c:lblOffset val="100"/>
      </c:catAx>
      <c:valAx>
        <c:axId val="75625216"/>
        <c:scaling>
          <c:orientation val="minMax"/>
          <c:max val="100"/>
        </c:scaling>
        <c:axPos val="l"/>
        <c:majorGridlines/>
        <c:numFmt formatCode="0.0" sourceLinked="1"/>
        <c:majorTickMark val="none"/>
        <c:tickLblPos val="nextTo"/>
        <c:crossAx val="75615232"/>
        <c:crosses val="autoZero"/>
        <c:crossBetween val="between"/>
      </c:valAx>
    </c:plotArea>
    <c:plotVisOnly val="1"/>
    <c:dispBlanksAs val="gap"/>
  </c:chart>
  <c:printSettings>
    <c:headerFooter/>
    <c:pageMargins b="0.75000000000000933" l="0.70000000000000062" r="0.70000000000000062" t="0.750000000000009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E"/>
  <c:chart>
    <c:title>
      <c:tx>
        <c:strRef>
          <c:f>OverallResults!$A$29</c:f>
          <c:strCache>
            <c:ptCount val="1"/>
            <c:pt idx="0">
              <c:v>Your access to shared areas where you can spend time with other residents or visitors?</c:v>
            </c:pt>
          </c:strCache>
        </c:strRef>
      </c:tx>
    </c:title>
    <c:plotArea>
      <c:layout/>
      <c:barChart>
        <c:barDir val="col"/>
        <c:grouping val="clustered"/>
        <c:ser>
          <c:idx val="1"/>
          <c:order val="0"/>
          <c:dLbls>
            <c:showVal val="1"/>
          </c:dLbls>
          <c:cat>
            <c:strRef>
              <c:f>OverallResults!$A$31:$A$33</c:f>
              <c:strCache>
                <c:ptCount val="3"/>
                <c:pt idx="0">
                  <c:v>Happy</c:v>
                </c:pt>
                <c:pt idx="1">
                  <c:v>Neutral</c:v>
                </c:pt>
                <c:pt idx="2">
                  <c:v>Unhappy</c:v>
                </c:pt>
              </c:strCache>
            </c:strRef>
          </c:cat>
          <c:val>
            <c:numRef>
              <c:f>OverallResults!$D$31:$D$33</c:f>
              <c:numCache>
                <c:formatCode>0.0</c:formatCode>
                <c:ptCount val="3"/>
                <c:pt idx="0">
                  <c:v>0</c:v>
                </c:pt>
                <c:pt idx="1">
                  <c:v>0</c:v>
                </c:pt>
                <c:pt idx="2">
                  <c:v>0</c:v>
                </c:pt>
              </c:numCache>
            </c:numRef>
          </c:val>
        </c:ser>
        <c:axId val="73457024"/>
        <c:axId val="73602176"/>
      </c:barChart>
      <c:catAx>
        <c:axId val="73457024"/>
        <c:scaling>
          <c:orientation val="minMax"/>
        </c:scaling>
        <c:axPos val="b"/>
        <c:numFmt formatCode="General" sourceLinked="1"/>
        <c:majorTickMark val="none"/>
        <c:tickLblPos val="nextTo"/>
        <c:crossAx val="73602176"/>
        <c:crosses val="autoZero"/>
        <c:auto val="1"/>
        <c:lblAlgn val="ctr"/>
        <c:lblOffset val="100"/>
      </c:catAx>
      <c:valAx>
        <c:axId val="73602176"/>
        <c:scaling>
          <c:orientation val="minMax"/>
          <c:max val="100"/>
        </c:scaling>
        <c:axPos val="l"/>
        <c:majorGridlines/>
        <c:numFmt formatCode="0.0" sourceLinked="1"/>
        <c:majorTickMark val="none"/>
        <c:tickLblPos val="nextTo"/>
        <c:crossAx val="73457024"/>
        <c:crosses val="autoZero"/>
        <c:crossBetween val="between"/>
      </c:valAx>
    </c:plotArea>
    <c:plotVisOnly val="1"/>
    <c:dispBlanksAs val="gap"/>
  </c:chart>
  <c:printSettings>
    <c:headerFooter/>
    <c:pageMargins b="0.75000000000000444" l="0.70000000000000062" r="0.70000000000000062" t="0.75000000000000444"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IE"/>
  <c:chart>
    <c:title>
      <c:tx>
        <c:strRef>
          <c:f>OverallResults!$A$272</c:f>
          <c:strCache>
            <c:ptCount val="1"/>
            <c:pt idx="0">
              <c:v>Your involvement in deciding on the activities in your centre? </c:v>
            </c:pt>
          </c:strCache>
        </c:strRef>
      </c:tx>
    </c:title>
    <c:plotArea>
      <c:layout/>
      <c:barChart>
        <c:barDir val="col"/>
        <c:grouping val="clustered"/>
        <c:ser>
          <c:idx val="0"/>
          <c:order val="0"/>
          <c:dLbls>
            <c:showVal val="1"/>
          </c:dLbls>
          <c:cat>
            <c:strRef>
              <c:f>OverallResults!$A$274:$A$276</c:f>
              <c:strCache>
                <c:ptCount val="3"/>
                <c:pt idx="0">
                  <c:v>Happy</c:v>
                </c:pt>
                <c:pt idx="1">
                  <c:v>Neutral</c:v>
                </c:pt>
                <c:pt idx="2">
                  <c:v>Unhappy</c:v>
                </c:pt>
              </c:strCache>
            </c:strRef>
          </c:cat>
          <c:val>
            <c:numRef>
              <c:f>OverallResults!$D$274:$D$276</c:f>
              <c:numCache>
                <c:formatCode>0.0</c:formatCode>
                <c:ptCount val="3"/>
                <c:pt idx="0">
                  <c:v>0</c:v>
                </c:pt>
                <c:pt idx="1">
                  <c:v>0</c:v>
                </c:pt>
                <c:pt idx="2">
                  <c:v>0</c:v>
                </c:pt>
              </c:numCache>
            </c:numRef>
          </c:val>
        </c:ser>
        <c:axId val="75661696"/>
        <c:axId val="75663232"/>
      </c:barChart>
      <c:catAx>
        <c:axId val="75661696"/>
        <c:scaling>
          <c:orientation val="minMax"/>
        </c:scaling>
        <c:axPos val="b"/>
        <c:numFmt formatCode="General" sourceLinked="1"/>
        <c:majorTickMark val="none"/>
        <c:tickLblPos val="nextTo"/>
        <c:crossAx val="75663232"/>
        <c:crosses val="autoZero"/>
        <c:auto val="1"/>
        <c:lblAlgn val="ctr"/>
        <c:lblOffset val="100"/>
      </c:catAx>
      <c:valAx>
        <c:axId val="75663232"/>
        <c:scaling>
          <c:orientation val="minMax"/>
          <c:max val="100"/>
        </c:scaling>
        <c:axPos val="l"/>
        <c:majorGridlines/>
        <c:numFmt formatCode="0.0" sourceLinked="1"/>
        <c:majorTickMark val="none"/>
        <c:tickLblPos val="nextTo"/>
        <c:crossAx val="75661696"/>
        <c:crosses val="autoZero"/>
        <c:crossBetween val="between"/>
      </c:valAx>
    </c:plotArea>
    <c:plotVisOnly val="1"/>
    <c:dispBlanksAs val="gap"/>
  </c:chart>
  <c:printSettings>
    <c:headerFooter/>
    <c:pageMargins b="0.75000000000000955" l="0.70000000000000062" r="0.70000000000000062" t="0.750000000000009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IE"/>
  <c:chart>
    <c:title>
      <c:tx>
        <c:strRef>
          <c:f>OverallResults!$A$281</c:f>
          <c:strCache>
            <c:ptCount val="1"/>
            <c:pt idx="0">
              <c:v>How often you go outside your centre? </c:v>
            </c:pt>
          </c:strCache>
        </c:strRef>
      </c:tx>
    </c:title>
    <c:plotArea>
      <c:layout/>
      <c:barChart>
        <c:barDir val="col"/>
        <c:grouping val="clustered"/>
        <c:ser>
          <c:idx val="0"/>
          <c:order val="0"/>
          <c:dLbls>
            <c:showVal val="1"/>
          </c:dLbls>
          <c:cat>
            <c:strRef>
              <c:f>OverallResults!$A$283:$A$285</c:f>
              <c:strCache>
                <c:ptCount val="3"/>
                <c:pt idx="0">
                  <c:v>Happy</c:v>
                </c:pt>
                <c:pt idx="1">
                  <c:v>Neutral</c:v>
                </c:pt>
                <c:pt idx="2">
                  <c:v>Unhappy</c:v>
                </c:pt>
              </c:strCache>
            </c:strRef>
          </c:cat>
          <c:val>
            <c:numRef>
              <c:f>OverallResults!$D$283:$D$285</c:f>
              <c:numCache>
                <c:formatCode>0.0</c:formatCode>
                <c:ptCount val="3"/>
                <c:pt idx="0">
                  <c:v>0</c:v>
                </c:pt>
                <c:pt idx="1">
                  <c:v>0</c:v>
                </c:pt>
                <c:pt idx="2">
                  <c:v>0</c:v>
                </c:pt>
              </c:numCache>
            </c:numRef>
          </c:val>
        </c:ser>
        <c:axId val="75679232"/>
        <c:axId val="75680768"/>
      </c:barChart>
      <c:catAx>
        <c:axId val="75679232"/>
        <c:scaling>
          <c:orientation val="minMax"/>
        </c:scaling>
        <c:axPos val="b"/>
        <c:numFmt formatCode="General" sourceLinked="1"/>
        <c:majorTickMark val="none"/>
        <c:tickLblPos val="nextTo"/>
        <c:crossAx val="75680768"/>
        <c:crosses val="autoZero"/>
        <c:auto val="1"/>
        <c:lblAlgn val="ctr"/>
        <c:lblOffset val="100"/>
      </c:catAx>
      <c:valAx>
        <c:axId val="75680768"/>
        <c:scaling>
          <c:orientation val="minMax"/>
          <c:max val="100"/>
        </c:scaling>
        <c:axPos val="l"/>
        <c:majorGridlines/>
        <c:numFmt formatCode="0.0" sourceLinked="1"/>
        <c:majorTickMark val="none"/>
        <c:tickLblPos val="nextTo"/>
        <c:crossAx val="75679232"/>
        <c:crosses val="autoZero"/>
        <c:crossBetween val="between"/>
      </c:valAx>
    </c:plotArea>
    <c:plotVisOnly val="1"/>
    <c:dispBlanksAs val="gap"/>
  </c:chart>
  <c:printSettings>
    <c:headerFooter/>
    <c:pageMargins b="0.75000000000000977" l="0.70000000000000062" r="0.70000000000000062" t="0.75000000000000977"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IE"/>
  <c:chart>
    <c:title>
      <c:tx>
        <c:strRef>
          <c:f>OverallResults!$A$290</c:f>
          <c:strCache>
            <c:ptCount val="1"/>
            <c:pt idx="0">
              <c:v>Your participation in the wider community outside your centre? </c:v>
            </c:pt>
          </c:strCache>
        </c:strRef>
      </c:tx>
    </c:title>
    <c:plotArea>
      <c:layout/>
      <c:barChart>
        <c:barDir val="col"/>
        <c:grouping val="clustered"/>
        <c:ser>
          <c:idx val="0"/>
          <c:order val="0"/>
          <c:dLbls>
            <c:showVal val="1"/>
          </c:dLbls>
          <c:cat>
            <c:strRef>
              <c:f>OverallResults!$A$292:$A$294</c:f>
              <c:strCache>
                <c:ptCount val="3"/>
                <c:pt idx="0">
                  <c:v>Happy</c:v>
                </c:pt>
                <c:pt idx="1">
                  <c:v>Neutral</c:v>
                </c:pt>
                <c:pt idx="2">
                  <c:v>Unhappy</c:v>
                </c:pt>
              </c:strCache>
            </c:strRef>
          </c:cat>
          <c:val>
            <c:numRef>
              <c:f>OverallResults!$D$292:$D$294</c:f>
              <c:numCache>
                <c:formatCode>0.0</c:formatCode>
                <c:ptCount val="3"/>
                <c:pt idx="0">
                  <c:v>0</c:v>
                </c:pt>
                <c:pt idx="1">
                  <c:v>0</c:v>
                </c:pt>
                <c:pt idx="2">
                  <c:v>0</c:v>
                </c:pt>
              </c:numCache>
            </c:numRef>
          </c:val>
        </c:ser>
        <c:axId val="72980736"/>
        <c:axId val="72986624"/>
      </c:barChart>
      <c:catAx>
        <c:axId val="72980736"/>
        <c:scaling>
          <c:orientation val="minMax"/>
        </c:scaling>
        <c:axPos val="b"/>
        <c:numFmt formatCode="General" sourceLinked="1"/>
        <c:majorTickMark val="none"/>
        <c:tickLblPos val="nextTo"/>
        <c:crossAx val="72986624"/>
        <c:crosses val="autoZero"/>
        <c:auto val="1"/>
        <c:lblAlgn val="ctr"/>
        <c:lblOffset val="100"/>
      </c:catAx>
      <c:valAx>
        <c:axId val="72986624"/>
        <c:scaling>
          <c:orientation val="minMax"/>
          <c:max val="100"/>
        </c:scaling>
        <c:axPos val="l"/>
        <c:majorGridlines/>
        <c:numFmt formatCode="0.0" sourceLinked="1"/>
        <c:majorTickMark val="none"/>
        <c:tickLblPos val="nextTo"/>
        <c:crossAx val="72980736"/>
        <c:crosses val="autoZero"/>
        <c:crossBetween val="between"/>
      </c:valAx>
    </c:plotArea>
    <c:plotVisOnly val="1"/>
    <c:dispBlanksAs val="gap"/>
  </c:chart>
  <c:printSettings>
    <c:headerFooter/>
    <c:pageMargins b="0.75000000000000999" l="0.70000000000000062" r="0.70000000000000062" t="0.7500000000000099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IE"/>
  <c:chart>
    <c:title>
      <c:tx>
        <c:strRef>
          <c:f>OverallResults!$A$299</c:f>
          <c:strCache>
            <c:ptCount val="1"/>
            <c:pt idx="0">
              <c:v>Have you a Personal plan?</c:v>
            </c:pt>
          </c:strCache>
        </c:strRef>
      </c:tx>
    </c:title>
    <c:plotArea>
      <c:layout/>
      <c:barChart>
        <c:barDir val="col"/>
        <c:grouping val="clustered"/>
        <c:ser>
          <c:idx val="0"/>
          <c:order val="0"/>
          <c:dLbls>
            <c:showVal val="1"/>
          </c:dLbls>
          <c:cat>
            <c:strRef>
              <c:f>OverallResults!$A$301:$A$303</c:f>
              <c:strCache>
                <c:ptCount val="3"/>
                <c:pt idx="0">
                  <c:v>Yes</c:v>
                </c:pt>
                <c:pt idx="1">
                  <c:v>No</c:v>
                </c:pt>
                <c:pt idx="2">
                  <c:v>I don't know</c:v>
                </c:pt>
              </c:strCache>
            </c:strRef>
          </c:cat>
          <c:val>
            <c:numRef>
              <c:f>OverallResults!$D$301:$D$303</c:f>
              <c:numCache>
                <c:formatCode>0.0</c:formatCode>
                <c:ptCount val="3"/>
                <c:pt idx="0">
                  <c:v>0</c:v>
                </c:pt>
                <c:pt idx="1">
                  <c:v>0</c:v>
                </c:pt>
                <c:pt idx="2">
                  <c:v>0</c:v>
                </c:pt>
              </c:numCache>
            </c:numRef>
          </c:val>
        </c:ser>
        <c:axId val="72998272"/>
        <c:axId val="75715712"/>
      </c:barChart>
      <c:catAx>
        <c:axId val="72998272"/>
        <c:scaling>
          <c:orientation val="minMax"/>
        </c:scaling>
        <c:axPos val="b"/>
        <c:numFmt formatCode="General" sourceLinked="1"/>
        <c:majorTickMark val="none"/>
        <c:tickLblPos val="nextTo"/>
        <c:crossAx val="75715712"/>
        <c:crosses val="autoZero"/>
        <c:auto val="1"/>
        <c:lblAlgn val="ctr"/>
        <c:lblOffset val="100"/>
      </c:catAx>
      <c:valAx>
        <c:axId val="75715712"/>
        <c:scaling>
          <c:orientation val="minMax"/>
          <c:max val="100"/>
        </c:scaling>
        <c:axPos val="l"/>
        <c:majorGridlines/>
        <c:numFmt formatCode="0.0" sourceLinked="1"/>
        <c:majorTickMark val="none"/>
        <c:tickLblPos val="nextTo"/>
        <c:crossAx val="72998272"/>
        <c:crosses val="autoZero"/>
        <c:crossBetween val="between"/>
      </c:valAx>
    </c:plotArea>
    <c:plotVisOnly val="1"/>
    <c:dispBlanksAs val="gap"/>
  </c:chart>
  <c:printSettings>
    <c:headerFooter/>
    <c:pageMargins b="0.75000000000001021" l="0.70000000000000062" r="0.70000000000000062" t="0.750000000000010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IE"/>
  <c:chart>
    <c:title>
      <c:tx>
        <c:strRef>
          <c:f>OverallResults!$A$308</c:f>
          <c:strCache>
            <c:ptCount val="1"/>
            <c:pt idx="0">
              <c:v>Are easy to talk to?</c:v>
            </c:pt>
          </c:strCache>
        </c:strRef>
      </c:tx>
    </c:title>
    <c:plotArea>
      <c:layout/>
      <c:barChart>
        <c:barDir val="col"/>
        <c:grouping val="clustered"/>
        <c:ser>
          <c:idx val="0"/>
          <c:order val="0"/>
          <c:dLbls>
            <c:showVal val="1"/>
          </c:dLbls>
          <c:cat>
            <c:strRef>
              <c:f>OverallResults!$A$310:$A$312</c:f>
              <c:strCache>
                <c:ptCount val="3"/>
                <c:pt idx="0">
                  <c:v>Happy</c:v>
                </c:pt>
                <c:pt idx="1">
                  <c:v>Neutral</c:v>
                </c:pt>
                <c:pt idx="2">
                  <c:v>Unhappy</c:v>
                </c:pt>
              </c:strCache>
            </c:strRef>
          </c:cat>
          <c:val>
            <c:numRef>
              <c:f>OverallResults!$D$310:$D$312</c:f>
              <c:numCache>
                <c:formatCode>0.0</c:formatCode>
                <c:ptCount val="3"/>
                <c:pt idx="0">
                  <c:v>0</c:v>
                </c:pt>
                <c:pt idx="1">
                  <c:v>0</c:v>
                </c:pt>
                <c:pt idx="2">
                  <c:v>0</c:v>
                </c:pt>
              </c:numCache>
            </c:numRef>
          </c:val>
        </c:ser>
        <c:axId val="75739904"/>
        <c:axId val="75741440"/>
      </c:barChart>
      <c:catAx>
        <c:axId val="75739904"/>
        <c:scaling>
          <c:orientation val="minMax"/>
        </c:scaling>
        <c:axPos val="b"/>
        <c:numFmt formatCode="General" sourceLinked="1"/>
        <c:majorTickMark val="none"/>
        <c:tickLblPos val="nextTo"/>
        <c:crossAx val="75741440"/>
        <c:crosses val="autoZero"/>
        <c:auto val="1"/>
        <c:lblAlgn val="ctr"/>
        <c:lblOffset val="100"/>
      </c:catAx>
      <c:valAx>
        <c:axId val="75741440"/>
        <c:scaling>
          <c:orientation val="minMax"/>
          <c:max val="100"/>
        </c:scaling>
        <c:axPos val="l"/>
        <c:majorGridlines/>
        <c:numFmt formatCode="0.0" sourceLinked="1"/>
        <c:majorTickMark val="none"/>
        <c:tickLblPos val="nextTo"/>
        <c:crossAx val="75739904"/>
        <c:crosses val="autoZero"/>
        <c:crossBetween val="between"/>
      </c:valAx>
    </c:plotArea>
    <c:plotVisOnly val="1"/>
    <c:dispBlanksAs val="gap"/>
  </c:chart>
  <c:printSettings>
    <c:headerFooter/>
    <c:pageMargins b="0.75000000000001044" l="0.70000000000000062" r="0.70000000000000062" t="0.750000000000010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IE"/>
  <c:chart>
    <c:title>
      <c:tx>
        <c:strRef>
          <c:f>OverallResults!$A$317</c:f>
          <c:strCache>
            <c:ptCount val="1"/>
            <c:pt idx="0">
              <c:v>Listen to you?</c:v>
            </c:pt>
          </c:strCache>
        </c:strRef>
      </c:tx>
    </c:title>
    <c:plotArea>
      <c:layout/>
      <c:barChart>
        <c:barDir val="col"/>
        <c:grouping val="clustered"/>
        <c:ser>
          <c:idx val="0"/>
          <c:order val="0"/>
          <c:dLbls>
            <c:showVal val="1"/>
          </c:dLbls>
          <c:cat>
            <c:strRef>
              <c:f>OverallResults!$A$319:$A$321</c:f>
              <c:strCache>
                <c:ptCount val="3"/>
                <c:pt idx="0">
                  <c:v>Happy</c:v>
                </c:pt>
                <c:pt idx="1">
                  <c:v>Neutral</c:v>
                </c:pt>
                <c:pt idx="2">
                  <c:v>Unhappy</c:v>
                </c:pt>
              </c:strCache>
            </c:strRef>
          </c:cat>
          <c:val>
            <c:numRef>
              <c:f>OverallResults!$D$319:$D$321</c:f>
              <c:numCache>
                <c:formatCode>0.0</c:formatCode>
                <c:ptCount val="3"/>
                <c:pt idx="0">
                  <c:v>0</c:v>
                </c:pt>
                <c:pt idx="1">
                  <c:v>0</c:v>
                </c:pt>
                <c:pt idx="2">
                  <c:v>0</c:v>
                </c:pt>
              </c:numCache>
            </c:numRef>
          </c:val>
        </c:ser>
        <c:axId val="81008512"/>
        <c:axId val="81010048"/>
      </c:barChart>
      <c:catAx>
        <c:axId val="81008512"/>
        <c:scaling>
          <c:orientation val="minMax"/>
        </c:scaling>
        <c:axPos val="b"/>
        <c:numFmt formatCode="General" sourceLinked="1"/>
        <c:majorTickMark val="none"/>
        <c:tickLblPos val="nextTo"/>
        <c:crossAx val="81010048"/>
        <c:crosses val="autoZero"/>
        <c:auto val="1"/>
        <c:lblAlgn val="ctr"/>
        <c:lblOffset val="100"/>
      </c:catAx>
      <c:valAx>
        <c:axId val="81010048"/>
        <c:scaling>
          <c:orientation val="minMax"/>
          <c:max val="100"/>
        </c:scaling>
        <c:axPos val="l"/>
        <c:majorGridlines/>
        <c:numFmt formatCode="0.0" sourceLinked="1"/>
        <c:majorTickMark val="none"/>
        <c:tickLblPos val="nextTo"/>
        <c:crossAx val="81008512"/>
        <c:crosses val="autoZero"/>
        <c:crossBetween val="between"/>
      </c:valAx>
    </c:plotArea>
    <c:plotVisOnly val="1"/>
    <c:dispBlanksAs val="gap"/>
  </c:chart>
  <c:printSettings>
    <c:headerFooter/>
    <c:pageMargins b="0.75000000000001066" l="0.70000000000000062" r="0.70000000000000062" t="0.750000000000010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IE"/>
  <c:chart>
    <c:title>
      <c:tx>
        <c:strRef>
          <c:f>OverallResults!$A$326</c:f>
          <c:strCache>
            <c:ptCount val="1"/>
            <c:pt idx="0">
              <c:v>Know your likes and dislikes?</c:v>
            </c:pt>
          </c:strCache>
        </c:strRef>
      </c:tx>
    </c:title>
    <c:plotArea>
      <c:layout/>
      <c:barChart>
        <c:barDir val="col"/>
        <c:grouping val="clustered"/>
        <c:ser>
          <c:idx val="0"/>
          <c:order val="0"/>
          <c:dLbls>
            <c:showVal val="1"/>
          </c:dLbls>
          <c:cat>
            <c:strRef>
              <c:f>OverallResults!$A$328:$A$330</c:f>
              <c:strCache>
                <c:ptCount val="3"/>
                <c:pt idx="0">
                  <c:v>Happy</c:v>
                </c:pt>
                <c:pt idx="1">
                  <c:v>Neutral</c:v>
                </c:pt>
                <c:pt idx="2">
                  <c:v>Unhappy</c:v>
                </c:pt>
              </c:strCache>
            </c:strRef>
          </c:cat>
          <c:val>
            <c:numRef>
              <c:f>OverallResults!$D$328:$D$330</c:f>
              <c:numCache>
                <c:formatCode>0.0</c:formatCode>
                <c:ptCount val="3"/>
                <c:pt idx="0">
                  <c:v>0</c:v>
                </c:pt>
                <c:pt idx="1">
                  <c:v>0</c:v>
                </c:pt>
                <c:pt idx="2">
                  <c:v>0</c:v>
                </c:pt>
              </c:numCache>
            </c:numRef>
          </c:val>
        </c:ser>
        <c:axId val="81042432"/>
        <c:axId val="81056512"/>
      </c:barChart>
      <c:catAx>
        <c:axId val="81042432"/>
        <c:scaling>
          <c:orientation val="minMax"/>
        </c:scaling>
        <c:axPos val="b"/>
        <c:numFmt formatCode="General" sourceLinked="1"/>
        <c:majorTickMark val="none"/>
        <c:tickLblPos val="nextTo"/>
        <c:crossAx val="81056512"/>
        <c:crosses val="autoZero"/>
        <c:auto val="1"/>
        <c:lblAlgn val="ctr"/>
        <c:lblOffset val="100"/>
      </c:catAx>
      <c:valAx>
        <c:axId val="81056512"/>
        <c:scaling>
          <c:orientation val="minMax"/>
          <c:max val="100"/>
        </c:scaling>
        <c:axPos val="l"/>
        <c:majorGridlines/>
        <c:numFmt formatCode="0.0" sourceLinked="1"/>
        <c:majorTickMark val="none"/>
        <c:tickLblPos val="nextTo"/>
        <c:crossAx val="81042432"/>
        <c:crosses val="autoZero"/>
        <c:crossBetween val="between"/>
      </c:valAx>
    </c:plotArea>
    <c:plotVisOnly val="1"/>
    <c:dispBlanksAs val="gap"/>
  </c:chart>
  <c:printSettings>
    <c:headerFooter/>
    <c:pageMargins b="0.75000000000001088" l="0.70000000000000062" r="0.70000000000000062" t="0.7500000000000108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IE"/>
  <c:chart>
    <c:title>
      <c:tx>
        <c:strRef>
          <c:f>OverallResults!$A$335</c:f>
          <c:strCache>
            <c:ptCount val="1"/>
            <c:pt idx="0">
              <c:v>Getting dressed?</c:v>
            </c:pt>
          </c:strCache>
        </c:strRef>
      </c:tx>
    </c:title>
    <c:plotArea>
      <c:layout/>
      <c:barChart>
        <c:barDir val="col"/>
        <c:grouping val="clustered"/>
        <c:ser>
          <c:idx val="0"/>
          <c:order val="0"/>
          <c:dLbls>
            <c:showVal val="1"/>
          </c:dLbls>
          <c:cat>
            <c:strRef>
              <c:f>OverallResults!$A$337:$A$340</c:f>
              <c:strCache>
                <c:ptCount val="4"/>
                <c:pt idx="0">
                  <c:v>Happy</c:v>
                </c:pt>
                <c:pt idx="1">
                  <c:v>Neutral</c:v>
                </c:pt>
                <c:pt idx="2">
                  <c:v>Unhappy</c:v>
                </c:pt>
                <c:pt idx="3">
                  <c:v>I do not need support</c:v>
                </c:pt>
              </c:strCache>
            </c:strRef>
          </c:cat>
          <c:val>
            <c:numRef>
              <c:f>OverallResults!$D$337:$D$340</c:f>
              <c:numCache>
                <c:formatCode>0.0</c:formatCode>
                <c:ptCount val="4"/>
                <c:pt idx="0">
                  <c:v>0</c:v>
                </c:pt>
                <c:pt idx="1">
                  <c:v>0</c:v>
                </c:pt>
                <c:pt idx="2">
                  <c:v>0</c:v>
                </c:pt>
                <c:pt idx="3">
                  <c:v>0</c:v>
                </c:pt>
              </c:numCache>
            </c:numRef>
          </c:val>
        </c:ser>
        <c:axId val="81085184"/>
        <c:axId val="81086720"/>
      </c:barChart>
      <c:catAx>
        <c:axId val="81085184"/>
        <c:scaling>
          <c:orientation val="minMax"/>
        </c:scaling>
        <c:axPos val="b"/>
        <c:numFmt formatCode="General" sourceLinked="1"/>
        <c:majorTickMark val="none"/>
        <c:tickLblPos val="nextTo"/>
        <c:crossAx val="81086720"/>
        <c:crosses val="autoZero"/>
        <c:auto val="1"/>
        <c:lblAlgn val="ctr"/>
        <c:lblOffset val="100"/>
      </c:catAx>
      <c:valAx>
        <c:axId val="81086720"/>
        <c:scaling>
          <c:orientation val="minMax"/>
          <c:max val="100"/>
        </c:scaling>
        <c:axPos val="l"/>
        <c:majorGridlines/>
        <c:numFmt formatCode="0.0" sourceLinked="1"/>
        <c:majorTickMark val="none"/>
        <c:tickLblPos val="nextTo"/>
        <c:crossAx val="81085184"/>
        <c:crosses val="autoZero"/>
        <c:crossBetween val="between"/>
      </c:valAx>
    </c:plotArea>
    <c:plotVisOnly val="1"/>
    <c:dispBlanksAs val="gap"/>
  </c:chart>
  <c:printSettings>
    <c:headerFooter/>
    <c:pageMargins b="0.7500000000000111" l="0.70000000000000062" r="0.70000000000000062" t="0.75000000000001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IE"/>
  <c:chart>
    <c:title>
      <c:tx>
        <c:strRef>
          <c:f>OverallResults!$A$345</c:f>
          <c:strCache>
            <c:ptCount val="1"/>
            <c:pt idx="0">
              <c:v>Washing?</c:v>
            </c:pt>
          </c:strCache>
        </c:strRef>
      </c:tx>
    </c:title>
    <c:plotArea>
      <c:layout/>
      <c:barChart>
        <c:barDir val="col"/>
        <c:grouping val="clustered"/>
        <c:ser>
          <c:idx val="0"/>
          <c:order val="0"/>
          <c:dLbls>
            <c:showVal val="1"/>
          </c:dLbls>
          <c:cat>
            <c:strRef>
              <c:f>OverallResults!$A$347:$A$350</c:f>
              <c:strCache>
                <c:ptCount val="4"/>
                <c:pt idx="0">
                  <c:v>Happy</c:v>
                </c:pt>
                <c:pt idx="1">
                  <c:v>Neutral</c:v>
                </c:pt>
                <c:pt idx="2">
                  <c:v>Unhappy</c:v>
                </c:pt>
                <c:pt idx="3">
                  <c:v>I do not need support</c:v>
                </c:pt>
              </c:strCache>
            </c:strRef>
          </c:cat>
          <c:val>
            <c:numRef>
              <c:f>OverallResults!$D$347:$D$350</c:f>
              <c:numCache>
                <c:formatCode>0.0</c:formatCode>
                <c:ptCount val="4"/>
                <c:pt idx="0">
                  <c:v>0</c:v>
                </c:pt>
                <c:pt idx="1">
                  <c:v>0</c:v>
                </c:pt>
                <c:pt idx="2">
                  <c:v>0</c:v>
                </c:pt>
                <c:pt idx="3">
                  <c:v>0</c:v>
                </c:pt>
              </c:numCache>
            </c:numRef>
          </c:val>
        </c:ser>
        <c:axId val="81106816"/>
        <c:axId val="81108352"/>
      </c:barChart>
      <c:catAx>
        <c:axId val="81106816"/>
        <c:scaling>
          <c:orientation val="minMax"/>
        </c:scaling>
        <c:axPos val="b"/>
        <c:numFmt formatCode="General" sourceLinked="1"/>
        <c:majorTickMark val="none"/>
        <c:tickLblPos val="nextTo"/>
        <c:crossAx val="81108352"/>
        <c:crosses val="autoZero"/>
        <c:auto val="1"/>
        <c:lblAlgn val="ctr"/>
        <c:lblOffset val="100"/>
      </c:catAx>
      <c:valAx>
        <c:axId val="81108352"/>
        <c:scaling>
          <c:orientation val="minMax"/>
          <c:max val="100"/>
        </c:scaling>
        <c:axPos val="l"/>
        <c:majorGridlines/>
        <c:numFmt formatCode="0.0" sourceLinked="1"/>
        <c:majorTickMark val="none"/>
        <c:tickLblPos val="nextTo"/>
        <c:crossAx val="81106816"/>
        <c:crosses val="autoZero"/>
        <c:crossBetween val="between"/>
      </c:valAx>
    </c:plotArea>
    <c:plotVisOnly val="1"/>
    <c:dispBlanksAs val="gap"/>
  </c:chart>
  <c:printSettings>
    <c:headerFooter/>
    <c:pageMargins b="0.75000000000001132" l="0.70000000000000062" r="0.70000000000000062" t="0.7500000000000113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IE"/>
  <c:chart>
    <c:title>
      <c:tx>
        <c:strRef>
          <c:f>OverallResults!$A$355</c:f>
          <c:strCache>
            <c:ptCount val="1"/>
            <c:pt idx="0">
              <c:v>Eating or drinking?</c:v>
            </c:pt>
          </c:strCache>
        </c:strRef>
      </c:tx>
    </c:title>
    <c:plotArea>
      <c:layout/>
      <c:barChart>
        <c:barDir val="col"/>
        <c:grouping val="clustered"/>
        <c:ser>
          <c:idx val="0"/>
          <c:order val="0"/>
          <c:dLbls>
            <c:showVal val="1"/>
          </c:dLbls>
          <c:cat>
            <c:strRef>
              <c:f>OverallResults!$A$357:$A$360</c:f>
              <c:strCache>
                <c:ptCount val="4"/>
                <c:pt idx="0">
                  <c:v>Happy</c:v>
                </c:pt>
                <c:pt idx="1">
                  <c:v>Neutral</c:v>
                </c:pt>
                <c:pt idx="2">
                  <c:v>Unhappy</c:v>
                </c:pt>
                <c:pt idx="3">
                  <c:v>I do not need support</c:v>
                </c:pt>
              </c:strCache>
            </c:strRef>
          </c:cat>
          <c:val>
            <c:numRef>
              <c:f>OverallResults!$D$357:$D$360</c:f>
              <c:numCache>
                <c:formatCode>0.0</c:formatCode>
                <c:ptCount val="4"/>
                <c:pt idx="0">
                  <c:v>0</c:v>
                </c:pt>
                <c:pt idx="1">
                  <c:v>0</c:v>
                </c:pt>
                <c:pt idx="2">
                  <c:v>0</c:v>
                </c:pt>
                <c:pt idx="3">
                  <c:v>0</c:v>
                </c:pt>
              </c:numCache>
            </c:numRef>
          </c:val>
        </c:ser>
        <c:axId val="81148928"/>
        <c:axId val="81154816"/>
      </c:barChart>
      <c:catAx>
        <c:axId val="81148928"/>
        <c:scaling>
          <c:orientation val="minMax"/>
        </c:scaling>
        <c:axPos val="b"/>
        <c:numFmt formatCode="General" sourceLinked="1"/>
        <c:majorTickMark val="none"/>
        <c:tickLblPos val="nextTo"/>
        <c:crossAx val="81154816"/>
        <c:crosses val="autoZero"/>
        <c:auto val="1"/>
        <c:lblAlgn val="ctr"/>
        <c:lblOffset val="100"/>
      </c:catAx>
      <c:valAx>
        <c:axId val="81154816"/>
        <c:scaling>
          <c:orientation val="minMax"/>
          <c:max val="100"/>
        </c:scaling>
        <c:axPos val="l"/>
        <c:majorGridlines/>
        <c:numFmt formatCode="0.0" sourceLinked="1"/>
        <c:majorTickMark val="none"/>
        <c:tickLblPos val="nextTo"/>
        <c:crossAx val="81148928"/>
        <c:crosses val="autoZero"/>
        <c:crossBetween val="between"/>
      </c:valAx>
    </c:plotArea>
    <c:plotVisOnly val="1"/>
    <c:dispBlanksAs val="gap"/>
  </c:chart>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E"/>
  <c:chart>
    <c:title>
      <c:tx>
        <c:strRef>
          <c:f>OverallResults!$A$38</c:f>
          <c:strCache>
            <c:ptCount val="1"/>
            <c:pt idx="0">
              <c:v>Your access to a garden or outdoor area?</c:v>
            </c:pt>
          </c:strCache>
        </c:strRef>
      </c:tx>
    </c:title>
    <c:plotArea>
      <c:layout/>
      <c:barChart>
        <c:barDir val="col"/>
        <c:grouping val="clustered"/>
        <c:ser>
          <c:idx val="0"/>
          <c:order val="0"/>
          <c:dLbls>
            <c:showVal val="1"/>
          </c:dLbls>
          <c:cat>
            <c:strRef>
              <c:f>OverallResults!$A$40:$A$42</c:f>
              <c:strCache>
                <c:ptCount val="3"/>
                <c:pt idx="0">
                  <c:v>Happy</c:v>
                </c:pt>
                <c:pt idx="1">
                  <c:v>Neutral</c:v>
                </c:pt>
                <c:pt idx="2">
                  <c:v>Unhappy</c:v>
                </c:pt>
              </c:strCache>
            </c:strRef>
          </c:cat>
          <c:val>
            <c:numRef>
              <c:f>OverallResults!$D$40:$D$42</c:f>
              <c:numCache>
                <c:formatCode>0.0</c:formatCode>
                <c:ptCount val="3"/>
                <c:pt idx="0">
                  <c:v>0</c:v>
                </c:pt>
                <c:pt idx="1">
                  <c:v>0</c:v>
                </c:pt>
                <c:pt idx="2">
                  <c:v>0</c:v>
                </c:pt>
              </c:numCache>
            </c:numRef>
          </c:val>
        </c:ser>
        <c:axId val="73638656"/>
        <c:axId val="73640192"/>
      </c:barChart>
      <c:catAx>
        <c:axId val="73638656"/>
        <c:scaling>
          <c:orientation val="minMax"/>
        </c:scaling>
        <c:axPos val="b"/>
        <c:numFmt formatCode="General" sourceLinked="1"/>
        <c:majorTickMark val="none"/>
        <c:tickLblPos val="nextTo"/>
        <c:crossAx val="73640192"/>
        <c:crosses val="autoZero"/>
        <c:auto val="1"/>
        <c:lblAlgn val="ctr"/>
        <c:lblOffset val="100"/>
      </c:catAx>
      <c:valAx>
        <c:axId val="73640192"/>
        <c:scaling>
          <c:orientation val="minMax"/>
          <c:max val="100"/>
        </c:scaling>
        <c:axPos val="l"/>
        <c:majorGridlines/>
        <c:numFmt formatCode="0.0" sourceLinked="1"/>
        <c:majorTickMark val="none"/>
        <c:tickLblPos val="nextTo"/>
        <c:crossAx val="73638656"/>
        <c:crosses val="autoZero"/>
        <c:crossBetween val="between"/>
      </c:valAx>
    </c:plotArea>
    <c:plotVisOnly val="1"/>
    <c:dispBlanksAs val="gap"/>
  </c:chart>
  <c:printSettings>
    <c:headerFooter/>
    <c:pageMargins b="0.75000000000000466" l="0.70000000000000062" r="0.70000000000000062" t="0.7500000000000046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IE"/>
  <c:chart>
    <c:title>
      <c:tx>
        <c:strRef>
          <c:f>OverallResults!$A$365</c:f>
          <c:strCache>
            <c:ptCount val="1"/>
            <c:pt idx="0">
              <c:v>Moving about?</c:v>
            </c:pt>
          </c:strCache>
        </c:strRef>
      </c:tx>
    </c:title>
    <c:plotArea>
      <c:layout/>
      <c:barChart>
        <c:barDir val="col"/>
        <c:grouping val="clustered"/>
        <c:ser>
          <c:idx val="0"/>
          <c:order val="0"/>
          <c:dLbls>
            <c:showVal val="1"/>
          </c:dLbls>
          <c:cat>
            <c:strRef>
              <c:f>OverallResults!$A$367:$A$370</c:f>
              <c:strCache>
                <c:ptCount val="4"/>
                <c:pt idx="0">
                  <c:v>Happy</c:v>
                </c:pt>
                <c:pt idx="1">
                  <c:v>Neutral</c:v>
                </c:pt>
                <c:pt idx="2">
                  <c:v>Unhappy</c:v>
                </c:pt>
                <c:pt idx="3">
                  <c:v>I do not need support</c:v>
                </c:pt>
              </c:strCache>
            </c:strRef>
          </c:cat>
          <c:val>
            <c:numRef>
              <c:f>OverallResults!$D$367:$D$370</c:f>
              <c:numCache>
                <c:formatCode>0.0</c:formatCode>
                <c:ptCount val="4"/>
                <c:pt idx="0">
                  <c:v>0</c:v>
                </c:pt>
                <c:pt idx="1">
                  <c:v>0</c:v>
                </c:pt>
                <c:pt idx="2">
                  <c:v>0</c:v>
                </c:pt>
                <c:pt idx="3">
                  <c:v>0</c:v>
                </c:pt>
              </c:numCache>
            </c:numRef>
          </c:val>
        </c:ser>
        <c:axId val="81203584"/>
        <c:axId val="81205120"/>
      </c:barChart>
      <c:catAx>
        <c:axId val="81203584"/>
        <c:scaling>
          <c:orientation val="minMax"/>
        </c:scaling>
        <c:axPos val="b"/>
        <c:numFmt formatCode="General" sourceLinked="1"/>
        <c:majorTickMark val="none"/>
        <c:tickLblPos val="nextTo"/>
        <c:crossAx val="81205120"/>
        <c:crosses val="autoZero"/>
        <c:auto val="1"/>
        <c:lblAlgn val="ctr"/>
        <c:lblOffset val="100"/>
      </c:catAx>
      <c:valAx>
        <c:axId val="81205120"/>
        <c:scaling>
          <c:orientation val="minMax"/>
          <c:max val="100"/>
        </c:scaling>
        <c:axPos val="l"/>
        <c:majorGridlines/>
        <c:numFmt formatCode="0.0" sourceLinked="1"/>
        <c:majorTickMark val="none"/>
        <c:tickLblPos val="nextTo"/>
        <c:crossAx val="81203584"/>
        <c:crosses val="autoZero"/>
        <c:crossBetween val="between"/>
      </c:valAx>
    </c:plotArea>
    <c:plotVisOnly val="1"/>
    <c:dispBlanksAs val="gap"/>
  </c:chart>
  <c:printSettings>
    <c:headerFooter/>
    <c:pageMargins b="0.75000000000001177" l="0.70000000000000062" r="0.70000000000000062" t="0.75000000000001177"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IE"/>
  <c:chart>
    <c:title>
      <c:tx>
        <c:strRef>
          <c:f>OverallResults!$A$375</c:f>
          <c:strCache>
            <c:ptCount val="1"/>
            <c:pt idx="0">
              <c:v>Taking part in social and recreational activities inside your centre? </c:v>
            </c:pt>
          </c:strCache>
        </c:strRef>
      </c:tx>
    </c:title>
    <c:plotArea>
      <c:layout/>
      <c:barChart>
        <c:barDir val="col"/>
        <c:grouping val="clustered"/>
        <c:ser>
          <c:idx val="0"/>
          <c:order val="0"/>
          <c:dLbls>
            <c:showVal val="1"/>
          </c:dLbls>
          <c:cat>
            <c:strRef>
              <c:f>OverallResults!$A$377:$A$380</c:f>
              <c:strCache>
                <c:ptCount val="4"/>
                <c:pt idx="0">
                  <c:v>Happy</c:v>
                </c:pt>
                <c:pt idx="1">
                  <c:v>Neutral</c:v>
                </c:pt>
                <c:pt idx="2">
                  <c:v>Unhappy</c:v>
                </c:pt>
                <c:pt idx="3">
                  <c:v>I do not need support</c:v>
                </c:pt>
              </c:strCache>
            </c:strRef>
          </c:cat>
          <c:val>
            <c:numRef>
              <c:f>OverallResults!$D$377:$D$380</c:f>
              <c:numCache>
                <c:formatCode>0.0</c:formatCode>
                <c:ptCount val="4"/>
                <c:pt idx="0">
                  <c:v>0</c:v>
                </c:pt>
                <c:pt idx="1">
                  <c:v>0</c:v>
                </c:pt>
                <c:pt idx="2">
                  <c:v>0</c:v>
                </c:pt>
                <c:pt idx="3">
                  <c:v>0</c:v>
                </c:pt>
              </c:numCache>
            </c:numRef>
          </c:val>
        </c:ser>
        <c:axId val="81233408"/>
        <c:axId val="81234944"/>
      </c:barChart>
      <c:catAx>
        <c:axId val="81233408"/>
        <c:scaling>
          <c:orientation val="minMax"/>
        </c:scaling>
        <c:axPos val="b"/>
        <c:numFmt formatCode="General" sourceLinked="1"/>
        <c:majorTickMark val="none"/>
        <c:tickLblPos val="nextTo"/>
        <c:crossAx val="81234944"/>
        <c:crosses val="autoZero"/>
        <c:auto val="1"/>
        <c:lblAlgn val="ctr"/>
        <c:lblOffset val="100"/>
      </c:catAx>
      <c:valAx>
        <c:axId val="81234944"/>
        <c:scaling>
          <c:orientation val="minMax"/>
          <c:max val="100"/>
        </c:scaling>
        <c:axPos val="l"/>
        <c:majorGridlines/>
        <c:numFmt formatCode="0.0" sourceLinked="1"/>
        <c:majorTickMark val="none"/>
        <c:tickLblPos val="nextTo"/>
        <c:crossAx val="81233408"/>
        <c:crosses val="autoZero"/>
        <c:crossBetween val="between"/>
      </c:valAx>
    </c:plotArea>
    <c:plotVisOnly val="1"/>
    <c:dispBlanksAs val="gap"/>
  </c:chart>
  <c:printSettings>
    <c:headerFooter/>
    <c:pageMargins b="0.75000000000001199" l="0.70000000000000062" r="0.70000000000000062" t="0.7500000000000119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IE"/>
  <c:chart>
    <c:title>
      <c:tx>
        <c:strRef>
          <c:f>OverallResults!$A$385</c:f>
          <c:strCache>
            <c:ptCount val="1"/>
            <c:pt idx="0">
              <c:v>Taking part in activities outside your centre?  </c:v>
            </c:pt>
          </c:strCache>
        </c:strRef>
      </c:tx>
    </c:title>
    <c:plotArea>
      <c:layout/>
      <c:barChart>
        <c:barDir val="col"/>
        <c:grouping val="clustered"/>
        <c:ser>
          <c:idx val="0"/>
          <c:order val="0"/>
          <c:dLbls>
            <c:showVal val="1"/>
          </c:dLbls>
          <c:cat>
            <c:strRef>
              <c:f>OverallResults!$A$387:$A$390</c:f>
              <c:strCache>
                <c:ptCount val="4"/>
                <c:pt idx="0">
                  <c:v>Happy</c:v>
                </c:pt>
                <c:pt idx="1">
                  <c:v>Neutral</c:v>
                </c:pt>
                <c:pt idx="2">
                  <c:v>Unhappy</c:v>
                </c:pt>
                <c:pt idx="3">
                  <c:v>I do not need support</c:v>
                </c:pt>
              </c:strCache>
            </c:strRef>
          </c:cat>
          <c:val>
            <c:numRef>
              <c:f>OverallResults!$D$387:$D$390</c:f>
              <c:numCache>
                <c:formatCode>0.0</c:formatCode>
                <c:ptCount val="4"/>
                <c:pt idx="0">
                  <c:v>0</c:v>
                </c:pt>
                <c:pt idx="1">
                  <c:v>0</c:v>
                </c:pt>
                <c:pt idx="2">
                  <c:v>0</c:v>
                </c:pt>
                <c:pt idx="3">
                  <c:v>0</c:v>
                </c:pt>
              </c:numCache>
            </c:numRef>
          </c:val>
        </c:ser>
        <c:axId val="81267328"/>
        <c:axId val="81273216"/>
      </c:barChart>
      <c:catAx>
        <c:axId val="81267328"/>
        <c:scaling>
          <c:orientation val="minMax"/>
        </c:scaling>
        <c:axPos val="b"/>
        <c:numFmt formatCode="General" sourceLinked="1"/>
        <c:majorTickMark val="none"/>
        <c:tickLblPos val="nextTo"/>
        <c:crossAx val="81273216"/>
        <c:crosses val="autoZero"/>
        <c:auto val="1"/>
        <c:lblAlgn val="ctr"/>
        <c:lblOffset val="100"/>
      </c:catAx>
      <c:valAx>
        <c:axId val="81273216"/>
        <c:scaling>
          <c:orientation val="minMax"/>
          <c:max val="100"/>
        </c:scaling>
        <c:axPos val="l"/>
        <c:majorGridlines/>
        <c:numFmt formatCode="0.0" sourceLinked="1"/>
        <c:majorTickMark val="none"/>
        <c:tickLblPos val="nextTo"/>
        <c:crossAx val="81267328"/>
        <c:crosses val="autoZero"/>
        <c:crossBetween val="between"/>
      </c:valAx>
    </c:plotArea>
    <c:plotVisOnly val="1"/>
    <c:dispBlanksAs val="gap"/>
  </c:chart>
  <c:printSettings>
    <c:headerFooter/>
    <c:pageMargins b="0.75000000000001221" l="0.70000000000000062" r="0.70000000000000062" t="0.7500000000000122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IE"/>
  <c:chart>
    <c:title>
      <c:tx>
        <c:strRef>
          <c:f>OverallResults!$A$395</c:f>
          <c:strCache>
            <c:ptCount val="1"/>
            <c:pt idx="0">
              <c:v>Who would you speak with if you were unhappy with something in your Centre</c:v>
            </c:pt>
          </c:strCache>
        </c:strRef>
      </c:tx>
    </c:title>
    <c:plotArea>
      <c:layout/>
      <c:barChart>
        <c:barDir val="col"/>
        <c:grouping val="clustered"/>
        <c:ser>
          <c:idx val="0"/>
          <c:order val="0"/>
          <c:dLbls>
            <c:showVal val="1"/>
          </c:dLbls>
          <c:cat>
            <c:strRef>
              <c:f>OverallResults!$A$397:$A$405</c:f>
              <c:strCache>
                <c:ptCount val="9"/>
                <c:pt idx="0">
                  <c:v>Staff member</c:v>
                </c:pt>
                <c:pt idx="1">
                  <c:v>Family member or friend</c:v>
                </c:pt>
                <c:pt idx="2">
                  <c:v>Don't know</c:v>
                </c:pt>
                <c:pt idx="3">
                  <c:v>Ombudsman</c:v>
                </c:pt>
                <c:pt idx="4">
                  <c:v>Confidential Recipient</c:v>
                </c:pt>
                <c:pt idx="5">
                  <c:v>Independent Advocate</c:v>
                </c:pt>
                <c:pt idx="6">
                  <c:v>Complaints Officer</c:v>
                </c:pt>
                <c:pt idx="7">
                  <c:v>Disability Manager</c:v>
                </c:pt>
                <c:pt idx="8">
                  <c:v>Not applicable to me</c:v>
                </c:pt>
              </c:strCache>
            </c:strRef>
          </c:cat>
          <c:val>
            <c:numRef>
              <c:f>OverallResults!$D$397:$D$405</c:f>
              <c:numCache>
                <c:formatCode>0.0</c:formatCode>
                <c:ptCount val="9"/>
                <c:pt idx="0">
                  <c:v>0</c:v>
                </c:pt>
                <c:pt idx="1">
                  <c:v>0</c:v>
                </c:pt>
                <c:pt idx="2">
                  <c:v>0</c:v>
                </c:pt>
                <c:pt idx="3">
                  <c:v>0</c:v>
                </c:pt>
                <c:pt idx="4">
                  <c:v>0</c:v>
                </c:pt>
                <c:pt idx="5">
                  <c:v>0</c:v>
                </c:pt>
                <c:pt idx="6">
                  <c:v>0</c:v>
                </c:pt>
                <c:pt idx="7">
                  <c:v>0</c:v>
                </c:pt>
                <c:pt idx="8">
                  <c:v>0</c:v>
                </c:pt>
              </c:numCache>
            </c:numRef>
          </c:val>
        </c:ser>
        <c:axId val="81288576"/>
        <c:axId val="81302656"/>
      </c:barChart>
      <c:catAx>
        <c:axId val="81288576"/>
        <c:scaling>
          <c:orientation val="minMax"/>
        </c:scaling>
        <c:axPos val="b"/>
        <c:numFmt formatCode="General" sourceLinked="1"/>
        <c:majorTickMark val="none"/>
        <c:tickLblPos val="nextTo"/>
        <c:crossAx val="81302656"/>
        <c:crosses val="autoZero"/>
        <c:auto val="1"/>
        <c:lblAlgn val="ctr"/>
        <c:lblOffset val="100"/>
      </c:catAx>
      <c:valAx>
        <c:axId val="81302656"/>
        <c:scaling>
          <c:orientation val="minMax"/>
          <c:max val="100"/>
        </c:scaling>
        <c:axPos val="l"/>
        <c:majorGridlines/>
        <c:numFmt formatCode="0.0" sourceLinked="1"/>
        <c:majorTickMark val="none"/>
        <c:tickLblPos val="nextTo"/>
        <c:crossAx val="81288576"/>
        <c:crosses val="autoZero"/>
        <c:crossBetween val="between"/>
      </c:valAx>
    </c:plotArea>
    <c:plotVisOnly val="1"/>
    <c:dispBlanksAs val="gap"/>
  </c:chart>
  <c:printSettings>
    <c:headerFooter/>
    <c:pageMargins b="0.75000000000001243" l="0.70000000000000062" r="0.70000000000000062" t="0.7500000000000124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IE"/>
  <c:chart>
    <c:title>
      <c:tx>
        <c:strRef>
          <c:f>OverallResults!$A$410</c:f>
          <c:strCache>
            <c:ptCount val="1"/>
            <c:pt idx="0">
              <c:v>Have you ever made a complaint about something in your Centre?</c:v>
            </c:pt>
          </c:strCache>
        </c:strRef>
      </c:tx>
    </c:title>
    <c:plotArea>
      <c:layout/>
      <c:barChart>
        <c:barDir val="col"/>
        <c:grouping val="clustered"/>
        <c:ser>
          <c:idx val="0"/>
          <c:order val="0"/>
          <c:dLbls>
            <c:showVal val="1"/>
          </c:dLbls>
          <c:cat>
            <c:strRef>
              <c:f>OverallResults!$A$412:$A$414</c:f>
              <c:strCache>
                <c:ptCount val="3"/>
                <c:pt idx="0">
                  <c:v>Yes</c:v>
                </c:pt>
                <c:pt idx="1">
                  <c:v>No</c:v>
                </c:pt>
                <c:pt idx="2">
                  <c:v>Not applicable to me</c:v>
                </c:pt>
              </c:strCache>
            </c:strRef>
          </c:cat>
          <c:val>
            <c:numRef>
              <c:f>OverallResults!$D$412:$D$414</c:f>
              <c:numCache>
                <c:formatCode>0.0</c:formatCode>
                <c:ptCount val="3"/>
                <c:pt idx="0">
                  <c:v>0</c:v>
                </c:pt>
                <c:pt idx="1">
                  <c:v>0</c:v>
                </c:pt>
                <c:pt idx="2">
                  <c:v>0</c:v>
                </c:pt>
              </c:numCache>
            </c:numRef>
          </c:val>
        </c:ser>
        <c:axId val="81322752"/>
        <c:axId val="81324288"/>
      </c:barChart>
      <c:catAx>
        <c:axId val="81322752"/>
        <c:scaling>
          <c:orientation val="minMax"/>
        </c:scaling>
        <c:axPos val="b"/>
        <c:numFmt formatCode="General" sourceLinked="1"/>
        <c:majorTickMark val="none"/>
        <c:tickLblPos val="nextTo"/>
        <c:crossAx val="81324288"/>
        <c:crosses val="autoZero"/>
        <c:auto val="1"/>
        <c:lblAlgn val="ctr"/>
        <c:lblOffset val="100"/>
      </c:catAx>
      <c:valAx>
        <c:axId val="81324288"/>
        <c:scaling>
          <c:orientation val="minMax"/>
          <c:max val="100"/>
        </c:scaling>
        <c:axPos val="l"/>
        <c:majorGridlines/>
        <c:numFmt formatCode="0.0" sourceLinked="1"/>
        <c:majorTickMark val="none"/>
        <c:tickLblPos val="nextTo"/>
        <c:crossAx val="81322752"/>
        <c:crosses val="autoZero"/>
        <c:crossBetween val="between"/>
      </c:valAx>
    </c:plotArea>
    <c:plotVisOnly val="1"/>
    <c:dispBlanksAs val="gap"/>
  </c:chart>
  <c:printSettings>
    <c:headerFooter/>
    <c:pageMargins b="0.75000000000001266" l="0.70000000000000062" r="0.70000000000000062" t="0.750000000000012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IE"/>
  <c:chart>
    <c:title>
      <c:tx>
        <c:strRef>
          <c:f>OverallResults!$A$419</c:f>
          <c:strCache>
            <c:ptCount val="1"/>
            <c:pt idx="0">
              <c:v>Were you happy with the way your complaint was dealt with?</c:v>
            </c:pt>
          </c:strCache>
        </c:strRef>
      </c:tx>
    </c:title>
    <c:plotArea>
      <c:layout/>
      <c:barChart>
        <c:barDir val="col"/>
        <c:grouping val="clustered"/>
        <c:ser>
          <c:idx val="0"/>
          <c:order val="0"/>
          <c:dLbls>
            <c:showVal val="1"/>
          </c:dLbls>
          <c:cat>
            <c:strRef>
              <c:f>OverallResults!$A$421:$A$423</c:f>
              <c:strCache>
                <c:ptCount val="3"/>
                <c:pt idx="0">
                  <c:v>Yes</c:v>
                </c:pt>
                <c:pt idx="1">
                  <c:v>No</c:v>
                </c:pt>
                <c:pt idx="2">
                  <c:v>Not applicable to me</c:v>
                </c:pt>
              </c:strCache>
            </c:strRef>
          </c:cat>
          <c:val>
            <c:numRef>
              <c:f>OverallResults!$D$422:$D$423</c:f>
              <c:numCache>
                <c:formatCode>0.0</c:formatCode>
                <c:ptCount val="2"/>
                <c:pt idx="0">
                  <c:v>0</c:v>
                </c:pt>
                <c:pt idx="1">
                  <c:v>0</c:v>
                </c:pt>
              </c:numCache>
            </c:numRef>
          </c:val>
        </c:ser>
        <c:axId val="81352576"/>
        <c:axId val="81354112"/>
      </c:barChart>
      <c:catAx>
        <c:axId val="81352576"/>
        <c:scaling>
          <c:orientation val="minMax"/>
        </c:scaling>
        <c:axPos val="b"/>
        <c:numFmt formatCode="General" sourceLinked="1"/>
        <c:majorTickMark val="none"/>
        <c:tickLblPos val="nextTo"/>
        <c:crossAx val="81354112"/>
        <c:crosses val="autoZero"/>
        <c:auto val="1"/>
        <c:lblAlgn val="ctr"/>
        <c:lblOffset val="100"/>
      </c:catAx>
      <c:valAx>
        <c:axId val="81354112"/>
        <c:scaling>
          <c:orientation val="minMax"/>
          <c:max val="100"/>
        </c:scaling>
        <c:axPos val="l"/>
        <c:majorGridlines/>
        <c:numFmt formatCode="0.0" sourceLinked="1"/>
        <c:majorTickMark val="none"/>
        <c:tickLblPos val="nextTo"/>
        <c:crossAx val="81352576"/>
        <c:crosses val="autoZero"/>
        <c:crossBetween val="between"/>
      </c:valAx>
    </c:plotArea>
    <c:plotVisOnly val="1"/>
    <c:dispBlanksAs val="gap"/>
  </c:chart>
  <c:printSettings>
    <c:headerFooter/>
    <c:pageMargins b="0.75000000000001288" l="0.70000000000000062" r="0.70000000000000062" t="0.75000000000001288"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IE"/>
  <c:chart>
    <c:title>
      <c:tx>
        <c:strRef>
          <c:f>OverallResults!$A$428</c:f>
          <c:strCache>
            <c:ptCount val="1"/>
            <c:pt idx="0">
              <c:v>Person completing this form </c:v>
            </c:pt>
          </c:strCache>
        </c:strRef>
      </c:tx>
    </c:title>
    <c:plotArea>
      <c:layout/>
      <c:barChart>
        <c:barDir val="col"/>
        <c:grouping val="clustered"/>
        <c:ser>
          <c:idx val="0"/>
          <c:order val="0"/>
          <c:dLbls>
            <c:showVal val="1"/>
          </c:dLbls>
          <c:cat>
            <c:strRef>
              <c:f>OverallResults!$A$430:$A$433</c:f>
              <c:strCache>
                <c:ptCount val="4"/>
                <c:pt idx="0">
                  <c:v>Resident</c:v>
                </c:pt>
                <c:pt idx="1">
                  <c:v>Relative or friend</c:v>
                </c:pt>
                <c:pt idx="2">
                  <c:v>Staff member</c:v>
                </c:pt>
                <c:pt idx="3">
                  <c:v>Other</c:v>
                </c:pt>
              </c:strCache>
            </c:strRef>
          </c:cat>
          <c:val>
            <c:numRef>
              <c:f>OverallResults!$D$430:$D$433</c:f>
              <c:numCache>
                <c:formatCode>0.0</c:formatCode>
                <c:ptCount val="4"/>
                <c:pt idx="0">
                  <c:v>0</c:v>
                </c:pt>
                <c:pt idx="1">
                  <c:v>0</c:v>
                </c:pt>
                <c:pt idx="2">
                  <c:v>0</c:v>
                </c:pt>
                <c:pt idx="3">
                  <c:v>0</c:v>
                </c:pt>
              </c:numCache>
            </c:numRef>
          </c:val>
        </c:ser>
        <c:axId val="81411072"/>
        <c:axId val="81412864"/>
      </c:barChart>
      <c:catAx>
        <c:axId val="81411072"/>
        <c:scaling>
          <c:orientation val="minMax"/>
        </c:scaling>
        <c:axPos val="b"/>
        <c:numFmt formatCode="General" sourceLinked="1"/>
        <c:majorTickMark val="none"/>
        <c:tickLblPos val="nextTo"/>
        <c:crossAx val="81412864"/>
        <c:crosses val="autoZero"/>
        <c:auto val="1"/>
        <c:lblAlgn val="ctr"/>
        <c:lblOffset val="100"/>
      </c:catAx>
      <c:valAx>
        <c:axId val="81412864"/>
        <c:scaling>
          <c:orientation val="minMax"/>
          <c:max val="100"/>
        </c:scaling>
        <c:axPos val="l"/>
        <c:majorGridlines/>
        <c:numFmt formatCode="0.0" sourceLinked="1"/>
        <c:majorTickMark val="none"/>
        <c:tickLblPos val="nextTo"/>
        <c:crossAx val="81411072"/>
        <c:crosses val="autoZero"/>
        <c:crossBetween val="between"/>
      </c:valAx>
    </c:plotArea>
    <c:plotVisOnly val="1"/>
    <c:dispBlanksAs val="gap"/>
  </c:chart>
  <c:printSettings>
    <c:headerFooter/>
    <c:pageMargins b="0.7500000000000131" l="0.70000000000000062" r="0.70000000000000062" t="0.7500000000000131"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IE"/>
  <c:chart>
    <c:title>
      <c:tx>
        <c:strRef>
          <c:f>OverallResults!$A$438</c:f>
          <c:strCache>
            <c:ptCount val="1"/>
            <c:pt idx="0">
              <c:v>Would you like the PIC  to contact you to discuss anything in this questionnaire</c:v>
            </c:pt>
          </c:strCache>
        </c:strRef>
      </c:tx>
    </c:title>
    <c:plotArea>
      <c:layout/>
      <c:barChart>
        <c:barDir val="col"/>
        <c:grouping val="clustered"/>
        <c:ser>
          <c:idx val="0"/>
          <c:order val="0"/>
          <c:dLbls>
            <c:showVal val="1"/>
          </c:dLbls>
          <c:cat>
            <c:strRef>
              <c:f>OverallResults!$A$440:$A$441</c:f>
              <c:strCache>
                <c:ptCount val="2"/>
                <c:pt idx="0">
                  <c:v>Yes</c:v>
                </c:pt>
                <c:pt idx="1">
                  <c:v>No</c:v>
                </c:pt>
              </c:strCache>
            </c:strRef>
          </c:cat>
          <c:val>
            <c:numRef>
              <c:f>OverallResults!$D$440:$D$441</c:f>
              <c:numCache>
                <c:formatCode>0.0</c:formatCode>
                <c:ptCount val="2"/>
                <c:pt idx="0">
                  <c:v>0</c:v>
                </c:pt>
                <c:pt idx="1">
                  <c:v>0</c:v>
                </c:pt>
              </c:numCache>
            </c:numRef>
          </c:val>
        </c:ser>
        <c:axId val="81453056"/>
        <c:axId val="81454592"/>
      </c:barChart>
      <c:catAx>
        <c:axId val="81453056"/>
        <c:scaling>
          <c:orientation val="minMax"/>
        </c:scaling>
        <c:axPos val="b"/>
        <c:numFmt formatCode="General" sourceLinked="1"/>
        <c:majorTickMark val="none"/>
        <c:tickLblPos val="nextTo"/>
        <c:crossAx val="81454592"/>
        <c:crosses val="autoZero"/>
        <c:auto val="1"/>
        <c:lblAlgn val="ctr"/>
        <c:lblOffset val="100"/>
      </c:catAx>
      <c:valAx>
        <c:axId val="81454592"/>
        <c:scaling>
          <c:orientation val="minMax"/>
          <c:max val="100"/>
        </c:scaling>
        <c:axPos val="l"/>
        <c:majorGridlines/>
        <c:numFmt formatCode="0.0" sourceLinked="1"/>
        <c:majorTickMark val="none"/>
        <c:tickLblPos val="nextTo"/>
        <c:crossAx val="81453056"/>
        <c:crosses val="autoZero"/>
        <c:crossBetween val="between"/>
      </c:valAx>
    </c:plotArea>
    <c:plotVisOnly val="1"/>
    <c:dispBlanksAs val="gap"/>
  </c:chart>
  <c:printSettings>
    <c:headerFooter/>
    <c:pageMargins b="0.75000000000001332" l="0.70000000000000062" r="0.70000000000000062" t="0.7500000000000133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IE"/>
  <c:chart>
    <c:title>
      <c:tx>
        <c:strRef>
          <c:f>'Overall Results'!$A$10:$D$10</c:f>
          <c:strCache>
            <c:ptCount val="1"/>
            <c:pt idx="0">
              <c:v>Your Centre - How happy are you with:</c:v>
            </c:pt>
          </c:strCache>
        </c:strRef>
      </c:tx>
    </c:title>
    <c:plotArea>
      <c:layout>
        <c:manualLayout>
          <c:layoutTarget val="inner"/>
          <c:xMode val="edge"/>
          <c:yMode val="edge"/>
          <c:x val="9.7792037037037038E-2"/>
          <c:y val="0.21709722222222252"/>
          <c:w val="0.7406129629629622"/>
          <c:h val="0.4495861111111113"/>
        </c:manualLayout>
      </c:layout>
      <c:barChart>
        <c:barDir val="col"/>
        <c:grouping val="clustered"/>
        <c:ser>
          <c:idx val="0"/>
          <c:order val="0"/>
          <c:tx>
            <c:strRef>
              <c:f>'Overall Results'!$B$11</c:f>
              <c:strCache>
                <c:ptCount val="1"/>
                <c:pt idx="0">
                  <c:v>Happy</c:v>
                </c:pt>
              </c:strCache>
            </c:strRef>
          </c:tx>
          <c:dLbls>
            <c:dLblPos val="outEnd"/>
            <c:showVal val="1"/>
          </c:dLbls>
          <c:cat>
            <c:strRef>
              <c:f>'Overall Results'!$A$12:$A$15</c:f>
              <c:strCache>
                <c:ptCount val="4"/>
                <c:pt idx="0">
                  <c:v>How comfortable is your centre? </c:v>
                </c:pt>
                <c:pt idx="1">
                  <c:v>How warm is your centre? </c:v>
                </c:pt>
                <c:pt idx="2">
                  <c:v>Your access to shared areas where you can spend time with other residents or visitors?</c:v>
                </c:pt>
                <c:pt idx="3">
                  <c:v>Your access to a garden or outdoor area?</c:v>
                </c:pt>
              </c:strCache>
            </c:strRef>
          </c:cat>
          <c:val>
            <c:numRef>
              <c:f>'Overall Results'!$B$12:$B$15</c:f>
              <c:numCache>
                <c:formatCode>0.0</c:formatCode>
                <c:ptCount val="4"/>
                <c:pt idx="0">
                  <c:v>0</c:v>
                </c:pt>
                <c:pt idx="1">
                  <c:v>0</c:v>
                </c:pt>
                <c:pt idx="2">
                  <c:v>0</c:v>
                </c:pt>
                <c:pt idx="3">
                  <c:v>0</c:v>
                </c:pt>
              </c:numCache>
            </c:numRef>
          </c:val>
        </c:ser>
        <c:ser>
          <c:idx val="1"/>
          <c:order val="1"/>
          <c:tx>
            <c:strRef>
              <c:f>'Overall Results'!$C$11</c:f>
              <c:strCache>
                <c:ptCount val="1"/>
                <c:pt idx="0">
                  <c:v>Neutral</c:v>
                </c:pt>
              </c:strCache>
            </c:strRef>
          </c:tx>
          <c:dLbls>
            <c:showVal val="1"/>
          </c:dLbls>
          <c:cat>
            <c:strRef>
              <c:f>'Overall Results'!$A$12:$A$15</c:f>
              <c:strCache>
                <c:ptCount val="4"/>
                <c:pt idx="0">
                  <c:v>How comfortable is your centre? </c:v>
                </c:pt>
                <c:pt idx="1">
                  <c:v>How warm is your centre? </c:v>
                </c:pt>
                <c:pt idx="2">
                  <c:v>Your access to shared areas where you can spend time with other residents or visitors?</c:v>
                </c:pt>
                <c:pt idx="3">
                  <c:v>Your access to a garden or outdoor area?</c:v>
                </c:pt>
              </c:strCache>
            </c:strRef>
          </c:cat>
          <c:val>
            <c:numRef>
              <c:f>'Overall Results'!$C$12:$C$15</c:f>
              <c:numCache>
                <c:formatCode>0.0</c:formatCode>
                <c:ptCount val="4"/>
                <c:pt idx="0">
                  <c:v>0</c:v>
                </c:pt>
                <c:pt idx="1">
                  <c:v>0</c:v>
                </c:pt>
                <c:pt idx="2">
                  <c:v>0</c:v>
                </c:pt>
                <c:pt idx="3">
                  <c:v>0</c:v>
                </c:pt>
              </c:numCache>
            </c:numRef>
          </c:val>
        </c:ser>
        <c:ser>
          <c:idx val="2"/>
          <c:order val="2"/>
          <c:tx>
            <c:strRef>
              <c:f>'Overall Results'!$D$11</c:f>
              <c:strCache>
                <c:ptCount val="1"/>
                <c:pt idx="0">
                  <c:v>UnHappy</c:v>
                </c:pt>
              </c:strCache>
            </c:strRef>
          </c:tx>
          <c:dLbls>
            <c:showVal val="1"/>
          </c:dLbls>
          <c:cat>
            <c:strRef>
              <c:f>'Overall Results'!$A$12:$A$15</c:f>
              <c:strCache>
                <c:ptCount val="4"/>
                <c:pt idx="0">
                  <c:v>How comfortable is your centre? </c:v>
                </c:pt>
                <c:pt idx="1">
                  <c:v>How warm is your centre? </c:v>
                </c:pt>
                <c:pt idx="2">
                  <c:v>Your access to shared areas where you can spend time with other residents or visitors?</c:v>
                </c:pt>
                <c:pt idx="3">
                  <c:v>Your access to a garden or outdoor area?</c:v>
                </c:pt>
              </c:strCache>
            </c:strRef>
          </c:cat>
          <c:val>
            <c:numRef>
              <c:f>'Overall Results'!$D$12:$D$15</c:f>
              <c:numCache>
                <c:formatCode>0.0</c:formatCode>
                <c:ptCount val="4"/>
                <c:pt idx="0">
                  <c:v>0</c:v>
                </c:pt>
                <c:pt idx="1">
                  <c:v>0</c:v>
                </c:pt>
                <c:pt idx="2">
                  <c:v>0</c:v>
                </c:pt>
                <c:pt idx="3">
                  <c:v>0</c:v>
                </c:pt>
              </c:numCache>
            </c:numRef>
          </c:val>
        </c:ser>
        <c:axId val="81634432"/>
        <c:axId val="81635968"/>
      </c:barChart>
      <c:catAx>
        <c:axId val="81634432"/>
        <c:scaling>
          <c:orientation val="minMax"/>
        </c:scaling>
        <c:axPos val="b"/>
        <c:majorTickMark val="none"/>
        <c:tickLblPos val="nextTo"/>
        <c:txPr>
          <a:bodyPr/>
          <a:lstStyle/>
          <a:p>
            <a:pPr>
              <a:defRPr sz="900"/>
            </a:pPr>
            <a:endParaRPr lang="en-US"/>
          </a:p>
        </c:txPr>
        <c:crossAx val="81635968"/>
        <c:crosses val="autoZero"/>
        <c:auto val="1"/>
        <c:lblAlgn val="ctr"/>
        <c:lblOffset val="100"/>
      </c:catAx>
      <c:valAx>
        <c:axId val="81635968"/>
        <c:scaling>
          <c:orientation val="minMax"/>
          <c:max val="100"/>
        </c:scaling>
        <c:axPos val="l"/>
        <c:majorGridlines/>
        <c:numFmt formatCode="0.0" sourceLinked="1"/>
        <c:majorTickMark val="none"/>
        <c:tickLblPos val="nextTo"/>
        <c:crossAx val="81634432"/>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IE"/>
  <c:chart>
    <c:title>
      <c:tx>
        <c:strRef>
          <c:f>'Overall Results'!$A$18:$D$18</c:f>
          <c:strCache>
            <c:ptCount val="1"/>
            <c:pt idx="0">
              <c:v>Your Bedroom - How happy are you with:</c:v>
            </c:pt>
          </c:strCache>
        </c:strRef>
      </c:tx>
      <c:layout>
        <c:manualLayout>
          <c:xMode val="edge"/>
          <c:yMode val="edge"/>
          <c:x val="0.1068611111111112"/>
          <c:y val="2.7777777777777842E-2"/>
        </c:manualLayout>
      </c:layout>
    </c:title>
    <c:plotArea>
      <c:layout/>
      <c:barChart>
        <c:barDir val="col"/>
        <c:grouping val="clustered"/>
        <c:ser>
          <c:idx val="0"/>
          <c:order val="0"/>
          <c:tx>
            <c:strRef>
              <c:f>'Overall Results'!$B$19</c:f>
              <c:strCache>
                <c:ptCount val="1"/>
                <c:pt idx="0">
                  <c:v>Happy</c:v>
                </c:pt>
              </c:strCache>
            </c:strRef>
          </c:tx>
          <c:dLbls>
            <c:showVal val="1"/>
          </c:dLbls>
          <c:cat>
            <c:strRef>
              <c:f>'Overall Results'!$A$20:$A$23</c:f>
              <c:strCache>
                <c:ptCount val="4"/>
                <c:pt idx="0">
                  <c:v>Your bedroom?</c:v>
                </c:pt>
                <c:pt idx="1">
                  <c:v>The amount of space you have for your belongings?</c:v>
                </c:pt>
                <c:pt idx="2">
                  <c:v>The security of your belongings?</c:v>
                </c:pt>
                <c:pt idx="3">
                  <c:v>Your laundry facilities?</c:v>
                </c:pt>
              </c:strCache>
            </c:strRef>
          </c:cat>
          <c:val>
            <c:numRef>
              <c:f>'Overall Results'!$B$20:$B$23</c:f>
              <c:numCache>
                <c:formatCode>0.0</c:formatCode>
                <c:ptCount val="4"/>
                <c:pt idx="0">
                  <c:v>0</c:v>
                </c:pt>
                <c:pt idx="1">
                  <c:v>0</c:v>
                </c:pt>
                <c:pt idx="2">
                  <c:v>0</c:v>
                </c:pt>
                <c:pt idx="3">
                  <c:v>0</c:v>
                </c:pt>
              </c:numCache>
            </c:numRef>
          </c:val>
        </c:ser>
        <c:ser>
          <c:idx val="1"/>
          <c:order val="1"/>
          <c:tx>
            <c:strRef>
              <c:f>'Overall Results'!$C$19</c:f>
              <c:strCache>
                <c:ptCount val="1"/>
                <c:pt idx="0">
                  <c:v>Neutral</c:v>
                </c:pt>
              </c:strCache>
            </c:strRef>
          </c:tx>
          <c:dLbls>
            <c:showVal val="1"/>
          </c:dLbls>
          <c:cat>
            <c:strRef>
              <c:f>'Overall Results'!$A$20:$A$23</c:f>
              <c:strCache>
                <c:ptCount val="4"/>
                <c:pt idx="0">
                  <c:v>Your bedroom?</c:v>
                </c:pt>
                <c:pt idx="1">
                  <c:v>The amount of space you have for your belongings?</c:v>
                </c:pt>
                <c:pt idx="2">
                  <c:v>The security of your belongings?</c:v>
                </c:pt>
                <c:pt idx="3">
                  <c:v>Your laundry facilities?</c:v>
                </c:pt>
              </c:strCache>
            </c:strRef>
          </c:cat>
          <c:val>
            <c:numRef>
              <c:f>'Overall Results'!$C$20:$C$23</c:f>
              <c:numCache>
                <c:formatCode>0.0</c:formatCode>
                <c:ptCount val="4"/>
                <c:pt idx="0">
                  <c:v>0</c:v>
                </c:pt>
                <c:pt idx="1">
                  <c:v>0</c:v>
                </c:pt>
                <c:pt idx="2">
                  <c:v>0</c:v>
                </c:pt>
                <c:pt idx="3">
                  <c:v>0</c:v>
                </c:pt>
              </c:numCache>
            </c:numRef>
          </c:val>
        </c:ser>
        <c:ser>
          <c:idx val="2"/>
          <c:order val="2"/>
          <c:tx>
            <c:strRef>
              <c:f>'Overall Results'!$D$19</c:f>
              <c:strCache>
                <c:ptCount val="1"/>
                <c:pt idx="0">
                  <c:v>UnHappy</c:v>
                </c:pt>
              </c:strCache>
            </c:strRef>
          </c:tx>
          <c:dLbls>
            <c:showVal val="1"/>
          </c:dLbls>
          <c:cat>
            <c:strRef>
              <c:f>'Overall Results'!$A$20:$A$23</c:f>
              <c:strCache>
                <c:ptCount val="4"/>
                <c:pt idx="0">
                  <c:v>Your bedroom?</c:v>
                </c:pt>
                <c:pt idx="1">
                  <c:v>The amount of space you have for your belongings?</c:v>
                </c:pt>
                <c:pt idx="2">
                  <c:v>The security of your belongings?</c:v>
                </c:pt>
                <c:pt idx="3">
                  <c:v>Your laundry facilities?</c:v>
                </c:pt>
              </c:strCache>
            </c:strRef>
          </c:cat>
          <c:val>
            <c:numRef>
              <c:f>'Overall Results'!$D$20:$D$23</c:f>
              <c:numCache>
                <c:formatCode>0.0</c:formatCode>
                <c:ptCount val="4"/>
                <c:pt idx="0">
                  <c:v>0</c:v>
                </c:pt>
                <c:pt idx="1">
                  <c:v>0</c:v>
                </c:pt>
                <c:pt idx="2">
                  <c:v>0</c:v>
                </c:pt>
                <c:pt idx="3">
                  <c:v>0</c:v>
                </c:pt>
              </c:numCache>
            </c:numRef>
          </c:val>
        </c:ser>
        <c:axId val="81694720"/>
        <c:axId val="81696256"/>
      </c:barChart>
      <c:catAx>
        <c:axId val="81694720"/>
        <c:scaling>
          <c:orientation val="minMax"/>
        </c:scaling>
        <c:axPos val="b"/>
        <c:majorTickMark val="none"/>
        <c:tickLblPos val="nextTo"/>
        <c:crossAx val="81696256"/>
        <c:crosses val="autoZero"/>
        <c:auto val="1"/>
        <c:lblAlgn val="ctr"/>
        <c:lblOffset val="100"/>
      </c:catAx>
      <c:valAx>
        <c:axId val="81696256"/>
        <c:scaling>
          <c:orientation val="minMax"/>
          <c:max val="100"/>
          <c:min val="0"/>
        </c:scaling>
        <c:axPos val="l"/>
        <c:majorGridlines/>
        <c:numFmt formatCode="0.0" sourceLinked="1"/>
        <c:majorTickMark val="none"/>
        <c:tickLblPos val="nextTo"/>
        <c:crossAx val="81694720"/>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E"/>
  <c:chart>
    <c:title>
      <c:tx>
        <c:strRef>
          <c:f>OverallResults!$A$47</c:f>
          <c:strCache>
            <c:ptCount val="1"/>
            <c:pt idx="0">
              <c:v>Your bedroom?</c:v>
            </c:pt>
          </c:strCache>
        </c:strRef>
      </c:tx>
    </c:title>
    <c:plotArea>
      <c:layout/>
      <c:barChart>
        <c:barDir val="col"/>
        <c:grouping val="clustered"/>
        <c:ser>
          <c:idx val="1"/>
          <c:order val="0"/>
          <c:dLbls>
            <c:showVal val="1"/>
          </c:dLbls>
          <c:cat>
            <c:strRef>
              <c:f>OverallResults!$A$49:$A$51</c:f>
              <c:strCache>
                <c:ptCount val="3"/>
                <c:pt idx="0">
                  <c:v>Happy</c:v>
                </c:pt>
                <c:pt idx="1">
                  <c:v>Neutral</c:v>
                </c:pt>
                <c:pt idx="2">
                  <c:v>Unhappy</c:v>
                </c:pt>
              </c:strCache>
            </c:strRef>
          </c:cat>
          <c:val>
            <c:numRef>
              <c:f>OverallResults!$D$49:$D$51</c:f>
              <c:numCache>
                <c:formatCode>0.0</c:formatCode>
                <c:ptCount val="3"/>
                <c:pt idx="0">
                  <c:v>0</c:v>
                </c:pt>
                <c:pt idx="1">
                  <c:v>0</c:v>
                </c:pt>
                <c:pt idx="2">
                  <c:v>0</c:v>
                </c:pt>
              </c:numCache>
            </c:numRef>
          </c:val>
        </c:ser>
        <c:axId val="73660288"/>
        <c:axId val="73661824"/>
      </c:barChart>
      <c:catAx>
        <c:axId val="73660288"/>
        <c:scaling>
          <c:orientation val="minMax"/>
        </c:scaling>
        <c:axPos val="b"/>
        <c:numFmt formatCode="General" sourceLinked="1"/>
        <c:majorTickMark val="none"/>
        <c:tickLblPos val="nextTo"/>
        <c:crossAx val="73661824"/>
        <c:crosses val="autoZero"/>
        <c:auto val="1"/>
        <c:lblAlgn val="ctr"/>
        <c:lblOffset val="100"/>
      </c:catAx>
      <c:valAx>
        <c:axId val="73661824"/>
        <c:scaling>
          <c:orientation val="minMax"/>
          <c:max val="100"/>
        </c:scaling>
        <c:axPos val="l"/>
        <c:majorGridlines/>
        <c:numFmt formatCode="0.0" sourceLinked="1"/>
        <c:majorTickMark val="none"/>
        <c:tickLblPos val="nextTo"/>
        <c:crossAx val="73660288"/>
        <c:crosses val="autoZero"/>
        <c:crossBetween val="between"/>
      </c:valAx>
    </c:plotArea>
    <c:plotVisOnly val="1"/>
    <c:dispBlanksAs val="gap"/>
  </c:chart>
  <c:printSettings>
    <c:headerFooter/>
    <c:pageMargins b="0.75000000000000488" l="0.70000000000000062" r="0.70000000000000062" t="0.750000000000004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IE"/>
  <c:chart>
    <c:title>
      <c:tx>
        <c:strRef>
          <c:f>'Overall Results'!$A$26:$D$26</c:f>
          <c:strCache>
            <c:ptCount val="1"/>
            <c:pt idx="0">
              <c:v>Food and Mealtimes - How happy are you with:</c:v>
            </c:pt>
          </c:strCache>
        </c:strRef>
      </c:tx>
    </c:title>
    <c:plotArea>
      <c:layout/>
      <c:barChart>
        <c:barDir val="col"/>
        <c:grouping val="clustered"/>
        <c:ser>
          <c:idx val="0"/>
          <c:order val="0"/>
          <c:tx>
            <c:strRef>
              <c:f>'Overall Results'!$B$27</c:f>
              <c:strCache>
                <c:ptCount val="1"/>
                <c:pt idx="0">
                  <c:v>Happy</c:v>
                </c:pt>
              </c:strCache>
            </c:strRef>
          </c:tx>
          <c:dLbls>
            <c:showVal val="1"/>
          </c:dLbls>
          <c:cat>
            <c:strRef>
              <c:f>'Overall Results'!$A$28:$A$36</c:f>
              <c:strCache>
                <c:ptCount val="9"/>
                <c:pt idx="0">
                  <c:v>Taste of the food?</c:v>
                </c:pt>
                <c:pt idx="1">
                  <c:v>Choice of food?</c:v>
                </c:pt>
                <c:pt idx="2">
                  <c:v>Amount of food?</c:v>
                </c:pt>
                <c:pt idx="3">
                  <c:v>Temperature of the food?</c:v>
                </c:pt>
                <c:pt idx="4">
                  <c:v>Times the meals are served?</c:v>
                </c:pt>
                <c:pt idx="5">
                  <c:v>Amount of time you get to eat your meal?</c:v>
                </c:pt>
                <c:pt idx="6">
                  <c:v>Access to drinks and snacks outside of mealtimes?</c:v>
                </c:pt>
                <c:pt idx="7">
                  <c:v>Arrangements for grocery shopping?</c:v>
                </c:pt>
                <c:pt idx="8">
                  <c:v>Cooking and dining facilities available?</c:v>
                </c:pt>
              </c:strCache>
            </c:strRef>
          </c:cat>
          <c:val>
            <c:numRef>
              <c:f>'Overall Results'!$B$28:$B$36</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'Overall Results'!$C$27</c:f>
              <c:strCache>
                <c:ptCount val="1"/>
                <c:pt idx="0">
                  <c:v>Neutral</c:v>
                </c:pt>
              </c:strCache>
            </c:strRef>
          </c:tx>
          <c:dLbls>
            <c:showVal val="1"/>
          </c:dLbls>
          <c:cat>
            <c:strRef>
              <c:f>'Overall Results'!$A$28:$A$36</c:f>
              <c:strCache>
                <c:ptCount val="9"/>
                <c:pt idx="0">
                  <c:v>Taste of the food?</c:v>
                </c:pt>
                <c:pt idx="1">
                  <c:v>Choice of food?</c:v>
                </c:pt>
                <c:pt idx="2">
                  <c:v>Amount of food?</c:v>
                </c:pt>
                <c:pt idx="3">
                  <c:v>Temperature of the food?</c:v>
                </c:pt>
                <c:pt idx="4">
                  <c:v>Times the meals are served?</c:v>
                </c:pt>
                <c:pt idx="5">
                  <c:v>Amount of time you get to eat your meal?</c:v>
                </c:pt>
                <c:pt idx="6">
                  <c:v>Access to drinks and snacks outside of mealtimes?</c:v>
                </c:pt>
                <c:pt idx="7">
                  <c:v>Arrangements for grocery shopping?</c:v>
                </c:pt>
                <c:pt idx="8">
                  <c:v>Cooking and dining facilities available?</c:v>
                </c:pt>
              </c:strCache>
            </c:strRef>
          </c:cat>
          <c:val>
            <c:numRef>
              <c:f>'Overall Results'!$C$28:$C$36</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'Overall Results'!$D$27</c:f>
              <c:strCache>
                <c:ptCount val="1"/>
                <c:pt idx="0">
                  <c:v>UnHappy</c:v>
                </c:pt>
              </c:strCache>
            </c:strRef>
          </c:tx>
          <c:dLbls>
            <c:showVal val="1"/>
          </c:dLbls>
          <c:cat>
            <c:strRef>
              <c:f>'Overall Results'!$A$28:$A$36</c:f>
              <c:strCache>
                <c:ptCount val="9"/>
                <c:pt idx="0">
                  <c:v>Taste of the food?</c:v>
                </c:pt>
                <c:pt idx="1">
                  <c:v>Choice of food?</c:v>
                </c:pt>
                <c:pt idx="2">
                  <c:v>Amount of food?</c:v>
                </c:pt>
                <c:pt idx="3">
                  <c:v>Temperature of the food?</c:v>
                </c:pt>
                <c:pt idx="4">
                  <c:v>Times the meals are served?</c:v>
                </c:pt>
                <c:pt idx="5">
                  <c:v>Amount of time you get to eat your meal?</c:v>
                </c:pt>
                <c:pt idx="6">
                  <c:v>Access to drinks and snacks outside of mealtimes?</c:v>
                </c:pt>
                <c:pt idx="7">
                  <c:v>Arrangements for grocery shopping?</c:v>
                </c:pt>
                <c:pt idx="8">
                  <c:v>Cooking and dining facilities available?</c:v>
                </c:pt>
              </c:strCache>
            </c:strRef>
          </c:cat>
          <c:val>
            <c:numRef>
              <c:f>'Overall Results'!$D$28:$D$36</c:f>
              <c:numCache>
                <c:formatCode>0.0</c:formatCode>
                <c:ptCount val="9"/>
                <c:pt idx="0">
                  <c:v>0</c:v>
                </c:pt>
                <c:pt idx="1">
                  <c:v>0</c:v>
                </c:pt>
                <c:pt idx="2">
                  <c:v>0</c:v>
                </c:pt>
                <c:pt idx="3">
                  <c:v>0</c:v>
                </c:pt>
                <c:pt idx="4">
                  <c:v>0</c:v>
                </c:pt>
                <c:pt idx="5">
                  <c:v>0</c:v>
                </c:pt>
                <c:pt idx="6">
                  <c:v>0</c:v>
                </c:pt>
                <c:pt idx="7">
                  <c:v>0</c:v>
                </c:pt>
                <c:pt idx="8">
                  <c:v>0</c:v>
                </c:pt>
              </c:numCache>
            </c:numRef>
          </c:val>
        </c:ser>
        <c:axId val="81743872"/>
        <c:axId val="81745408"/>
      </c:barChart>
      <c:catAx>
        <c:axId val="81743872"/>
        <c:scaling>
          <c:orientation val="minMax"/>
        </c:scaling>
        <c:axPos val="b"/>
        <c:majorTickMark val="none"/>
        <c:tickLblPos val="nextTo"/>
        <c:crossAx val="81745408"/>
        <c:crosses val="autoZero"/>
        <c:auto val="1"/>
        <c:lblAlgn val="ctr"/>
        <c:lblOffset val="100"/>
      </c:catAx>
      <c:valAx>
        <c:axId val="81745408"/>
        <c:scaling>
          <c:orientation val="minMax"/>
          <c:max val="100"/>
          <c:min val="0"/>
        </c:scaling>
        <c:axPos val="l"/>
        <c:majorGridlines/>
        <c:numFmt formatCode="0.0" sourceLinked="1"/>
        <c:majorTickMark val="none"/>
        <c:tickLblPos val="nextTo"/>
        <c:crossAx val="81743872"/>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IE"/>
  <c:chart>
    <c:title>
      <c:tx>
        <c:strRef>
          <c:f>'Overall Results'!$A$39:$D$39</c:f>
          <c:strCache>
            <c:ptCount val="1"/>
            <c:pt idx="0">
              <c:v>Your Visitors - How happy are you with:</c:v>
            </c:pt>
          </c:strCache>
        </c:strRef>
      </c:tx>
    </c:title>
    <c:plotArea>
      <c:layout/>
      <c:barChart>
        <c:barDir val="col"/>
        <c:grouping val="clustered"/>
        <c:ser>
          <c:idx val="0"/>
          <c:order val="0"/>
          <c:tx>
            <c:strRef>
              <c:f>'Overall Results'!$B$40</c:f>
              <c:strCache>
                <c:ptCount val="1"/>
                <c:pt idx="0">
                  <c:v>Happy</c:v>
                </c:pt>
              </c:strCache>
            </c:strRef>
          </c:tx>
          <c:dLbls>
            <c:showVal val="1"/>
          </c:dLbls>
          <c:cat>
            <c:strRef>
              <c:f>'Overall Results'!$A$41:$A$42</c:f>
              <c:strCache>
                <c:ptCount val="2"/>
                <c:pt idx="0">
                  <c:v>The arrangements for visitors?</c:v>
                </c:pt>
                <c:pt idx="1">
                  <c:v>The welcome your visitors get from staff?</c:v>
                </c:pt>
              </c:strCache>
            </c:strRef>
          </c:cat>
          <c:val>
            <c:numRef>
              <c:f>'Overall Results'!$B$41:$B$42</c:f>
              <c:numCache>
                <c:formatCode>0.0</c:formatCode>
                <c:ptCount val="2"/>
                <c:pt idx="0">
                  <c:v>0</c:v>
                </c:pt>
                <c:pt idx="1">
                  <c:v>0</c:v>
                </c:pt>
              </c:numCache>
            </c:numRef>
          </c:val>
        </c:ser>
        <c:ser>
          <c:idx val="1"/>
          <c:order val="1"/>
          <c:tx>
            <c:strRef>
              <c:f>'Overall Results'!$C$40</c:f>
              <c:strCache>
                <c:ptCount val="1"/>
                <c:pt idx="0">
                  <c:v>Neutral</c:v>
                </c:pt>
              </c:strCache>
            </c:strRef>
          </c:tx>
          <c:dLbls>
            <c:showVal val="1"/>
          </c:dLbls>
          <c:cat>
            <c:strRef>
              <c:f>'Overall Results'!$A$41:$A$42</c:f>
              <c:strCache>
                <c:ptCount val="2"/>
                <c:pt idx="0">
                  <c:v>The arrangements for visitors?</c:v>
                </c:pt>
                <c:pt idx="1">
                  <c:v>The welcome your visitors get from staff?</c:v>
                </c:pt>
              </c:strCache>
            </c:strRef>
          </c:cat>
          <c:val>
            <c:numRef>
              <c:f>'Overall Results'!$C$41:$C$42</c:f>
              <c:numCache>
                <c:formatCode>0.0</c:formatCode>
                <c:ptCount val="2"/>
                <c:pt idx="0">
                  <c:v>0</c:v>
                </c:pt>
                <c:pt idx="1">
                  <c:v>0</c:v>
                </c:pt>
              </c:numCache>
            </c:numRef>
          </c:val>
        </c:ser>
        <c:ser>
          <c:idx val="2"/>
          <c:order val="2"/>
          <c:tx>
            <c:strRef>
              <c:f>'Overall Results'!$D$40</c:f>
              <c:strCache>
                <c:ptCount val="1"/>
                <c:pt idx="0">
                  <c:v>UnHappy</c:v>
                </c:pt>
              </c:strCache>
            </c:strRef>
          </c:tx>
          <c:dLbls>
            <c:showVal val="1"/>
          </c:dLbls>
          <c:cat>
            <c:strRef>
              <c:f>'Overall Results'!$A$41:$A$42</c:f>
              <c:strCache>
                <c:ptCount val="2"/>
                <c:pt idx="0">
                  <c:v>The arrangements for visitors?</c:v>
                </c:pt>
                <c:pt idx="1">
                  <c:v>The welcome your visitors get from staff?</c:v>
                </c:pt>
              </c:strCache>
            </c:strRef>
          </c:cat>
          <c:val>
            <c:numRef>
              <c:f>'Overall Results'!$D$41:$D$42</c:f>
              <c:numCache>
                <c:formatCode>0.0</c:formatCode>
                <c:ptCount val="2"/>
                <c:pt idx="0">
                  <c:v>0</c:v>
                </c:pt>
                <c:pt idx="1">
                  <c:v>0</c:v>
                </c:pt>
              </c:numCache>
            </c:numRef>
          </c:val>
        </c:ser>
        <c:axId val="81793024"/>
        <c:axId val="81794560"/>
      </c:barChart>
      <c:catAx>
        <c:axId val="81793024"/>
        <c:scaling>
          <c:orientation val="minMax"/>
        </c:scaling>
        <c:axPos val="b"/>
        <c:majorTickMark val="none"/>
        <c:tickLblPos val="nextTo"/>
        <c:crossAx val="81794560"/>
        <c:crosses val="autoZero"/>
        <c:auto val="1"/>
        <c:lblAlgn val="ctr"/>
        <c:lblOffset val="100"/>
      </c:catAx>
      <c:valAx>
        <c:axId val="81794560"/>
        <c:scaling>
          <c:orientation val="minMax"/>
          <c:max val="100"/>
          <c:min val="0"/>
        </c:scaling>
        <c:axPos val="l"/>
        <c:majorGridlines/>
        <c:numFmt formatCode="0.0" sourceLinked="1"/>
        <c:majorTickMark val="none"/>
        <c:tickLblPos val="nextTo"/>
        <c:crossAx val="81793024"/>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IE"/>
  <c:chart>
    <c:title>
      <c:tx>
        <c:strRef>
          <c:f>'Overall Results'!$A$45:$D$45</c:f>
          <c:strCache>
            <c:ptCount val="1"/>
            <c:pt idx="0">
              <c:v>Your Rights - How happy are you with the amount of choice you have about:</c:v>
            </c:pt>
          </c:strCache>
        </c:strRef>
      </c:tx>
    </c:title>
    <c:plotArea>
      <c:layout/>
      <c:barChart>
        <c:barDir val="col"/>
        <c:grouping val="clustered"/>
        <c:ser>
          <c:idx val="0"/>
          <c:order val="0"/>
          <c:tx>
            <c:strRef>
              <c:f>'Overall Results'!$B$46</c:f>
              <c:strCache>
                <c:ptCount val="1"/>
                <c:pt idx="0">
                  <c:v>Happy</c:v>
                </c:pt>
              </c:strCache>
            </c:strRef>
          </c:tx>
          <c:dLbls>
            <c:showVal val="1"/>
          </c:dLbls>
          <c:cat>
            <c:strRef>
              <c:f>'Overall Results'!$A$47:$A$55</c:f>
              <c:strCache>
                <c:ptCount val="9"/>
                <c:pt idx="0">
                  <c:v>What time to get up?</c:v>
                </c:pt>
                <c:pt idx="1">
                  <c:v>When you go to bed?</c:v>
                </c:pt>
                <c:pt idx="2">
                  <c:v>What you eat?</c:v>
                </c:pt>
                <c:pt idx="3">
                  <c:v>What you wear?</c:v>
                </c:pt>
                <c:pt idx="4">
                  <c:v>The activities you take part in?</c:v>
                </c:pt>
                <c:pt idx="5">
                  <c:v>The care and support you receive?</c:v>
                </c:pt>
                <c:pt idx="6">
                  <c:v>The amount of privacy you have?</c:v>
                </c:pt>
                <c:pt idx="7">
                  <c:v>How your respect and dignity is protected?</c:v>
                </c:pt>
                <c:pt idx="8">
                  <c:v>How safe you feel?</c:v>
                </c:pt>
              </c:strCache>
            </c:strRef>
          </c:cat>
          <c:val>
            <c:numRef>
              <c:f>'Overall Results'!$B$47:$B$55</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'Overall Results'!$C$46</c:f>
              <c:strCache>
                <c:ptCount val="1"/>
                <c:pt idx="0">
                  <c:v>Neutral</c:v>
                </c:pt>
              </c:strCache>
            </c:strRef>
          </c:tx>
          <c:dLbls>
            <c:showVal val="1"/>
          </c:dLbls>
          <c:cat>
            <c:strRef>
              <c:f>'Overall Results'!$A$47:$A$55</c:f>
              <c:strCache>
                <c:ptCount val="9"/>
                <c:pt idx="0">
                  <c:v>What time to get up?</c:v>
                </c:pt>
                <c:pt idx="1">
                  <c:v>When you go to bed?</c:v>
                </c:pt>
                <c:pt idx="2">
                  <c:v>What you eat?</c:v>
                </c:pt>
                <c:pt idx="3">
                  <c:v>What you wear?</c:v>
                </c:pt>
                <c:pt idx="4">
                  <c:v>The activities you take part in?</c:v>
                </c:pt>
                <c:pt idx="5">
                  <c:v>The care and support you receive?</c:v>
                </c:pt>
                <c:pt idx="6">
                  <c:v>The amount of privacy you have?</c:v>
                </c:pt>
                <c:pt idx="7">
                  <c:v>How your respect and dignity is protected?</c:v>
                </c:pt>
                <c:pt idx="8">
                  <c:v>How safe you feel?</c:v>
                </c:pt>
              </c:strCache>
            </c:strRef>
          </c:cat>
          <c:val>
            <c:numRef>
              <c:f>'Overall Results'!$C$47:$C$55</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'Overall Results'!$D$46</c:f>
              <c:strCache>
                <c:ptCount val="1"/>
                <c:pt idx="0">
                  <c:v>UnHappy</c:v>
                </c:pt>
              </c:strCache>
            </c:strRef>
          </c:tx>
          <c:dLbls>
            <c:showVal val="1"/>
          </c:dLbls>
          <c:cat>
            <c:strRef>
              <c:f>'Overall Results'!$A$47:$A$55</c:f>
              <c:strCache>
                <c:ptCount val="9"/>
                <c:pt idx="0">
                  <c:v>What time to get up?</c:v>
                </c:pt>
                <c:pt idx="1">
                  <c:v>When you go to bed?</c:v>
                </c:pt>
                <c:pt idx="2">
                  <c:v>What you eat?</c:v>
                </c:pt>
                <c:pt idx="3">
                  <c:v>What you wear?</c:v>
                </c:pt>
                <c:pt idx="4">
                  <c:v>The activities you take part in?</c:v>
                </c:pt>
                <c:pt idx="5">
                  <c:v>The care and support you receive?</c:v>
                </c:pt>
                <c:pt idx="6">
                  <c:v>The amount of privacy you have?</c:v>
                </c:pt>
                <c:pt idx="7">
                  <c:v>How your respect and dignity is protected?</c:v>
                </c:pt>
                <c:pt idx="8">
                  <c:v>How safe you feel?</c:v>
                </c:pt>
              </c:strCache>
            </c:strRef>
          </c:cat>
          <c:val>
            <c:numRef>
              <c:f>'Overall Results'!$D$47:$D$55</c:f>
              <c:numCache>
                <c:formatCode>0.0</c:formatCode>
                <c:ptCount val="9"/>
                <c:pt idx="0">
                  <c:v>0</c:v>
                </c:pt>
                <c:pt idx="1">
                  <c:v>0</c:v>
                </c:pt>
                <c:pt idx="2">
                  <c:v>0</c:v>
                </c:pt>
                <c:pt idx="3">
                  <c:v>0</c:v>
                </c:pt>
                <c:pt idx="4">
                  <c:v>0</c:v>
                </c:pt>
                <c:pt idx="5">
                  <c:v>0</c:v>
                </c:pt>
                <c:pt idx="6">
                  <c:v>0</c:v>
                </c:pt>
                <c:pt idx="7">
                  <c:v>0</c:v>
                </c:pt>
                <c:pt idx="8">
                  <c:v>0</c:v>
                </c:pt>
              </c:numCache>
            </c:numRef>
          </c:val>
        </c:ser>
        <c:axId val="81835136"/>
        <c:axId val="81836672"/>
      </c:barChart>
      <c:catAx>
        <c:axId val="81835136"/>
        <c:scaling>
          <c:orientation val="minMax"/>
        </c:scaling>
        <c:axPos val="b"/>
        <c:majorTickMark val="none"/>
        <c:tickLblPos val="nextTo"/>
        <c:txPr>
          <a:bodyPr rot="-1140000"/>
          <a:lstStyle/>
          <a:p>
            <a:pPr>
              <a:defRPr sz="900"/>
            </a:pPr>
            <a:endParaRPr lang="en-US"/>
          </a:p>
        </c:txPr>
        <c:crossAx val="81836672"/>
        <c:crosses val="autoZero"/>
        <c:auto val="1"/>
        <c:lblAlgn val="ctr"/>
        <c:lblOffset val="100"/>
      </c:catAx>
      <c:valAx>
        <c:axId val="81836672"/>
        <c:scaling>
          <c:orientation val="minMax"/>
          <c:max val="100"/>
          <c:min val="0"/>
        </c:scaling>
        <c:axPos val="l"/>
        <c:majorGridlines/>
        <c:numFmt formatCode="0.0" sourceLinked="1"/>
        <c:majorTickMark val="none"/>
        <c:tickLblPos val="nextTo"/>
        <c:crossAx val="81835136"/>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IE"/>
  <c:chart>
    <c:title>
      <c:tx>
        <c:strRef>
          <c:f>'Overall Results'!$A$58:$D$58</c:f>
          <c:strCache>
            <c:ptCount val="1"/>
            <c:pt idx="0">
              <c:v>Your Activities - How happy are you with:</c:v>
            </c:pt>
          </c:strCache>
        </c:strRef>
      </c:tx>
    </c:title>
    <c:plotArea>
      <c:layout/>
      <c:barChart>
        <c:barDir val="col"/>
        <c:grouping val="clustered"/>
        <c:ser>
          <c:idx val="0"/>
          <c:order val="0"/>
          <c:tx>
            <c:strRef>
              <c:f>'Overall Results'!$B$59</c:f>
              <c:strCache>
                <c:ptCount val="1"/>
                <c:pt idx="0">
                  <c:v>Happy</c:v>
                </c:pt>
              </c:strCache>
            </c:strRef>
          </c:tx>
          <c:dLbls>
            <c:showVal val="1"/>
          </c:dLbls>
          <c:cat>
            <c:strRef>
              <c:f>'Overall Results'!$A$60:$A$63</c:f>
              <c:strCache>
                <c:ptCount val="4"/>
                <c:pt idx="0">
                  <c:v>Your relationships with other residents?</c:v>
                </c:pt>
                <c:pt idx="1">
                  <c:v>Your involvement in deciding on the activities in your centre? </c:v>
                </c:pt>
                <c:pt idx="2">
                  <c:v>How often you go outside your centre? </c:v>
                </c:pt>
                <c:pt idx="3">
                  <c:v>Your participation in the wider community outside your centre? </c:v>
                </c:pt>
              </c:strCache>
            </c:strRef>
          </c:cat>
          <c:val>
            <c:numRef>
              <c:f>'Overall Results'!$B$60:$B$63</c:f>
              <c:numCache>
                <c:formatCode>0.0</c:formatCode>
                <c:ptCount val="4"/>
                <c:pt idx="0">
                  <c:v>0</c:v>
                </c:pt>
                <c:pt idx="1">
                  <c:v>0</c:v>
                </c:pt>
                <c:pt idx="2">
                  <c:v>0</c:v>
                </c:pt>
                <c:pt idx="3">
                  <c:v>0</c:v>
                </c:pt>
              </c:numCache>
            </c:numRef>
          </c:val>
        </c:ser>
        <c:ser>
          <c:idx val="1"/>
          <c:order val="1"/>
          <c:tx>
            <c:strRef>
              <c:f>'Overall Results'!$C$59</c:f>
              <c:strCache>
                <c:ptCount val="1"/>
                <c:pt idx="0">
                  <c:v>Neutral</c:v>
                </c:pt>
              </c:strCache>
            </c:strRef>
          </c:tx>
          <c:dLbls>
            <c:showVal val="1"/>
          </c:dLbls>
          <c:cat>
            <c:strRef>
              <c:f>'Overall Results'!$A$60:$A$63</c:f>
              <c:strCache>
                <c:ptCount val="4"/>
                <c:pt idx="0">
                  <c:v>Your relationships with other residents?</c:v>
                </c:pt>
                <c:pt idx="1">
                  <c:v>Your involvement in deciding on the activities in your centre? </c:v>
                </c:pt>
                <c:pt idx="2">
                  <c:v>How often you go outside your centre? </c:v>
                </c:pt>
                <c:pt idx="3">
                  <c:v>Your participation in the wider community outside your centre? </c:v>
                </c:pt>
              </c:strCache>
            </c:strRef>
          </c:cat>
          <c:val>
            <c:numRef>
              <c:f>'Overall Results'!$C$60:$C$63</c:f>
              <c:numCache>
                <c:formatCode>0.0</c:formatCode>
                <c:ptCount val="4"/>
                <c:pt idx="0">
                  <c:v>0</c:v>
                </c:pt>
                <c:pt idx="1">
                  <c:v>0</c:v>
                </c:pt>
                <c:pt idx="2">
                  <c:v>0</c:v>
                </c:pt>
                <c:pt idx="3">
                  <c:v>0</c:v>
                </c:pt>
              </c:numCache>
            </c:numRef>
          </c:val>
        </c:ser>
        <c:ser>
          <c:idx val="2"/>
          <c:order val="2"/>
          <c:tx>
            <c:strRef>
              <c:f>'Overall Results'!$D$59</c:f>
              <c:strCache>
                <c:ptCount val="1"/>
                <c:pt idx="0">
                  <c:v>UnHappy</c:v>
                </c:pt>
              </c:strCache>
            </c:strRef>
          </c:tx>
          <c:dLbls>
            <c:showVal val="1"/>
          </c:dLbls>
          <c:cat>
            <c:strRef>
              <c:f>'Overall Results'!$A$60:$A$63</c:f>
              <c:strCache>
                <c:ptCount val="4"/>
                <c:pt idx="0">
                  <c:v>Your relationships with other residents?</c:v>
                </c:pt>
                <c:pt idx="1">
                  <c:v>Your involvement in deciding on the activities in your centre? </c:v>
                </c:pt>
                <c:pt idx="2">
                  <c:v>How often you go outside your centre? </c:v>
                </c:pt>
                <c:pt idx="3">
                  <c:v>Your participation in the wider community outside your centre? </c:v>
                </c:pt>
              </c:strCache>
            </c:strRef>
          </c:cat>
          <c:val>
            <c:numRef>
              <c:f>'Overall Results'!$D$60:$D$63</c:f>
              <c:numCache>
                <c:formatCode>0.0</c:formatCode>
                <c:ptCount val="4"/>
                <c:pt idx="0">
                  <c:v>0</c:v>
                </c:pt>
                <c:pt idx="1">
                  <c:v>0</c:v>
                </c:pt>
                <c:pt idx="2">
                  <c:v>0</c:v>
                </c:pt>
                <c:pt idx="3">
                  <c:v>0</c:v>
                </c:pt>
              </c:numCache>
            </c:numRef>
          </c:val>
        </c:ser>
        <c:axId val="81895424"/>
        <c:axId val="81896960"/>
      </c:barChart>
      <c:catAx>
        <c:axId val="81895424"/>
        <c:scaling>
          <c:orientation val="minMax"/>
        </c:scaling>
        <c:axPos val="b"/>
        <c:majorTickMark val="none"/>
        <c:tickLblPos val="nextTo"/>
        <c:crossAx val="81896960"/>
        <c:crosses val="autoZero"/>
        <c:auto val="1"/>
        <c:lblAlgn val="ctr"/>
        <c:lblOffset val="100"/>
      </c:catAx>
      <c:valAx>
        <c:axId val="81896960"/>
        <c:scaling>
          <c:orientation val="minMax"/>
          <c:max val="100"/>
          <c:min val="0"/>
        </c:scaling>
        <c:axPos val="l"/>
        <c:majorGridlines/>
        <c:numFmt formatCode="0.0" sourceLinked="1"/>
        <c:majorTickMark val="none"/>
        <c:tickLblPos val="nextTo"/>
        <c:crossAx val="81895424"/>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IE"/>
  <c:chart>
    <c:title>
      <c:tx>
        <c:strRef>
          <c:f>'Overall Results'!$A$66:$D$66</c:f>
          <c:strCache>
            <c:ptCount val="1"/>
            <c:pt idx="0">
              <c:v>Your Personal Plan:</c:v>
            </c:pt>
          </c:strCache>
        </c:strRef>
      </c:tx>
    </c:title>
    <c:plotArea>
      <c:layout/>
      <c:barChart>
        <c:barDir val="col"/>
        <c:grouping val="clustered"/>
        <c:ser>
          <c:idx val="0"/>
          <c:order val="0"/>
          <c:tx>
            <c:strRef>
              <c:f>'Overall Results'!$B$67</c:f>
              <c:strCache>
                <c:ptCount val="1"/>
                <c:pt idx="0">
                  <c:v>Yes</c:v>
                </c:pt>
              </c:strCache>
            </c:strRef>
          </c:tx>
          <c:dLbls>
            <c:showVal val="1"/>
          </c:dLbls>
          <c:cat>
            <c:strRef>
              <c:f>'Overall Results'!$A$68</c:f>
              <c:strCache>
                <c:ptCount val="1"/>
                <c:pt idx="0">
                  <c:v>Have you a Personal Plan?</c:v>
                </c:pt>
              </c:strCache>
            </c:strRef>
          </c:cat>
          <c:val>
            <c:numRef>
              <c:f>'Overall Results'!$B$68</c:f>
              <c:numCache>
                <c:formatCode>0.0</c:formatCode>
                <c:ptCount val="1"/>
                <c:pt idx="0">
                  <c:v>0</c:v>
                </c:pt>
              </c:numCache>
            </c:numRef>
          </c:val>
        </c:ser>
        <c:ser>
          <c:idx val="1"/>
          <c:order val="1"/>
          <c:tx>
            <c:strRef>
              <c:f>'Overall Results'!$C$67</c:f>
              <c:strCache>
                <c:ptCount val="1"/>
                <c:pt idx="0">
                  <c:v>No</c:v>
                </c:pt>
              </c:strCache>
            </c:strRef>
          </c:tx>
          <c:dLbls>
            <c:showVal val="1"/>
          </c:dLbls>
          <c:cat>
            <c:strRef>
              <c:f>'Overall Results'!$A$68</c:f>
              <c:strCache>
                <c:ptCount val="1"/>
                <c:pt idx="0">
                  <c:v>Have you a Personal Plan?</c:v>
                </c:pt>
              </c:strCache>
            </c:strRef>
          </c:cat>
          <c:val>
            <c:numRef>
              <c:f>'Overall Results'!$C$68</c:f>
              <c:numCache>
                <c:formatCode>0.0</c:formatCode>
                <c:ptCount val="1"/>
                <c:pt idx="0">
                  <c:v>0</c:v>
                </c:pt>
              </c:numCache>
            </c:numRef>
          </c:val>
        </c:ser>
        <c:ser>
          <c:idx val="2"/>
          <c:order val="2"/>
          <c:tx>
            <c:strRef>
              <c:f>'Overall Results'!$D$67</c:f>
              <c:strCache>
                <c:ptCount val="1"/>
                <c:pt idx="0">
                  <c:v>I don't know</c:v>
                </c:pt>
              </c:strCache>
            </c:strRef>
          </c:tx>
          <c:dLbls>
            <c:showVal val="1"/>
          </c:dLbls>
          <c:cat>
            <c:strRef>
              <c:f>'Overall Results'!$A$68</c:f>
              <c:strCache>
                <c:ptCount val="1"/>
                <c:pt idx="0">
                  <c:v>Have you a Personal Plan?</c:v>
                </c:pt>
              </c:strCache>
            </c:strRef>
          </c:cat>
          <c:val>
            <c:numRef>
              <c:f>'Overall Results'!$D$68</c:f>
              <c:numCache>
                <c:formatCode>0.0</c:formatCode>
                <c:ptCount val="1"/>
                <c:pt idx="0">
                  <c:v>0</c:v>
                </c:pt>
              </c:numCache>
            </c:numRef>
          </c:val>
        </c:ser>
        <c:axId val="81948672"/>
        <c:axId val="81950208"/>
      </c:barChart>
      <c:catAx>
        <c:axId val="81948672"/>
        <c:scaling>
          <c:orientation val="minMax"/>
        </c:scaling>
        <c:axPos val="b"/>
        <c:tickLblPos val="nextTo"/>
        <c:crossAx val="81950208"/>
        <c:crosses val="autoZero"/>
        <c:auto val="1"/>
        <c:lblAlgn val="ctr"/>
        <c:lblOffset val="100"/>
      </c:catAx>
      <c:valAx>
        <c:axId val="81950208"/>
        <c:scaling>
          <c:orientation val="minMax"/>
          <c:max val="100"/>
          <c:min val="0"/>
        </c:scaling>
        <c:axPos val="l"/>
        <c:majorGridlines/>
        <c:numFmt formatCode="0.0" sourceLinked="1"/>
        <c:tickLblPos val="nextTo"/>
        <c:crossAx val="81948672"/>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IE"/>
  <c:chart>
    <c:title>
      <c:tx>
        <c:strRef>
          <c:f>'Overall Results'!$A$71:$D$71</c:f>
          <c:strCache>
            <c:ptCount val="1"/>
            <c:pt idx="0">
              <c:v>Staff - How happy are you that staff:</c:v>
            </c:pt>
          </c:strCache>
        </c:strRef>
      </c:tx>
    </c:title>
    <c:plotArea>
      <c:layout/>
      <c:barChart>
        <c:barDir val="col"/>
        <c:grouping val="clustered"/>
        <c:ser>
          <c:idx val="0"/>
          <c:order val="0"/>
          <c:tx>
            <c:strRef>
              <c:f>'Overall Results'!$B$72</c:f>
              <c:strCache>
                <c:ptCount val="1"/>
                <c:pt idx="0">
                  <c:v>Happy</c:v>
                </c:pt>
              </c:strCache>
            </c:strRef>
          </c:tx>
          <c:dLbls>
            <c:showVal val="1"/>
          </c:dLbls>
          <c:cat>
            <c:strRef>
              <c:f>'Overall Results'!$A$73:$A$75</c:f>
              <c:strCache>
                <c:ptCount val="3"/>
                <c:pt idx="0">
                  <c:v>Are easy to talk to?</c:v>
                </c:pt>
                <c:pt idx="1">
                  <c:v>Listen to you?</c:v>
                </c:pt>
                <c:pt idx="2">
                  <c:v>Know your likes and dislikes?</c:v>
                </c:pt>
              </c:strCache>
            </c:strRef>
          </c:cat>
          <c:val>
            <c:numRef>
              <c:f>'Overall Results'!$B$73:$B$75</c:f>
              <c:numCache>
                <c:formatCode>0.0</c:formatCode>
                <c:ptCount val="3"/>
                <c:pt idx="0">
                  <c:v>0</c:v>
                </c:pt>
                <c:pt idx="1">
                  <c:v>0</c:v>
                </c:pt>
                <c:pt idx="2">
                  <c:v>0</c:v>
                </c:pt>
              </c:numCache>
            </c:numRef>
          </c:val>
        </c:ser>
        <c:ser>
          <c:idx val="1"/>
          <c:order val="1"/>
          <c:tx>
            <c:strRef>
              <c:f>'Overall Results'!$C$72</c:f>
              <c:strCache>
                <c:ptCount val="1"/>
                <c:pt idx="0">
                  <c:v>Neutral</c:v>
                </c:pt>
              </c:strCache>
            </c:strRef>
          </c:tx>
          <c:dLbls>
            <c:showVal val="1"/>
          </c:dLbls>
          <c:cat>
            <c:strRef>
              <c:f>'Overall Results'!$A$73:$A$75</c:f>
              <c:strCache>
                <c:ptCount val="3"/>
                <c:pt idx="0">
                  <c:v>Are easy to talk to?</c:v>
                </c:pt>
                <c:pt idx="1">
                  <c:v>Listen to you?</c:v>
                </c:pt>
                <c:pt idx="2">
                  <c:v>Know your likes and dislikes?</c:v>
                </c:pt>
              </c:strCache>
            </c:strRef>
          </c:cat>
          <c:val>
            <c:numRef>
              <c:f>'Overall Results'!$C$73:$C$75</c:f>
              <c:numCache>
                <c:formatCode>0.0</c:formatCode>
                <c:ptCount val="3"/>
                <c:pt idx="0">
                  <c:v>0</c:v>
                </c:pt>
                <c:pt idx="1">
                  <c:v>0</c:v>
                </c:pt>
                <c:pt idx="2">
                  <c:v>0</c:v>
                </c:pt>
              </c:numCache>
            </c:numRef>
          </c:val>
        </c:ser>
        <c:ser>
          <c:idx val="2"/>
          <c:order val="2"/>
          <c:tx>
            <c:strRef>
              <c:f>'Overall Results'!$D$72</c:f>
              <c:strCache>
                <c:ptCount val="1"/>
                <c:pt idx="0">
                  <c:v>UnHappy</c:v>
                </c:pt>
              </c:strCache>
            </c:strRef>
          </c:tx>
          <c:dLbls>
            <c:showVal val="1"/>
          </c:dLbls>
          <c:cat>
            <c:strRef>
              <c:f>'Overall Results'!$A$73:$A$75</c:f>
              <c:strCache>
                <c:ptCount val="3"/>
                <c:pt idx="0">
                  <c:v>Are easy to talk to?</c:v>
                </c:pt>
                <c:pt idx="1">
                  <c:v>Listen to you?</c:v>
                </c:pt>
                <c:pt idx="2">
                  <c:v>Know your likes and dislikes?</c:v>
                </c:pt>
              </c:strCache>
            </c:strRef>
          </c:cat>
          <c:val>
            <c:numRef>
              <c:f>'Overall Results'!$D$73:$D$75</c:f>
              <c:numCache>
                <c:formatCode>0.0</c:formatCode>
                <c:ptCount val="3"/>
                <c:pt idx="0">
                  <c:v>0</c:v>
                </c:pt>
                <c:pt idx="1">
                  <c:v>0</c:v>
                </c:pt>
                <c:pt idx="2">
                  <c:v>0</c:v>
                </c:pt>
              </c:numCache>
            </c:numRef>
          </c:val>
        </c:ser>
        <c:axId val="82071552"/>
        <c:axId val="82073088"/>
      </c:barChart>
      <c:catAx>
        <c:axId val="82071552"/>
        <c:scaling>
          <c:orientation val="minMax"/>
        </c:scaling>
        <c:axPos val="b"/>
        <c:majorTickMark val="none"/>
        <c:tickLblPos val="nextTo"/>
        <c:crossAx val="82073088"/>
        <c:crosses val="autoZero"/>
        <c:auto val="1"/>
        <c:lblAlgn val="ctr"/>
        <c:lblOffset val="100"/>
      </c:catAx>
      <c:valAx>
        <c:axId val="82073088"/>
        <c:scaling>
          <c:orientation val="minMax"/>
          <c:max val="100"/>
          <c:min val="0"/>
        </c:scaling>
        <c:axPos val="l"/>
        <c:majorGridlines/>
        <c:numFmt formatCode="0.0" sourceLinked="1"/>
        <c:majorTickMark val="none"/>
        <c:tickLblPos val="nextTo"/>
        <c:crossAx val="82071552"/>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IE"/>
  <c:chart>
    <c:title>
      <c:tx>
        <c:strRef>
          <c:f>'Overall Results'!$A$78:$D$78</c:f>
          <c:strCache>
            <c:ptCount val="1"/>
            <c:pt idx="0">
              <c:v>Staff -  How happy are you with the support you get from staff when you are:</c:v>
            </c:pt>
          </c:strCache>
        </c:strRef>
      </c:tx>
    </c:title>
    <c:plotArea>
      <c:layout>
        <c:manualLayout>
          <c:layoutTarget val="inner"/>
          <c:xMode val="edge"/>
          <c:yMode val="edge"/>
          <c:x val="9.0736481481481543E-2"/>
          <c:y val="0.322804365079366"/>
          <c:w val="0.76268437500000064"/>
          <c:h val="0.36155173611111074"/>
        </c:manualLayout>
      </c:layout>
      <c:barChart>
        <c:barDir val="col"/>
        <c:grouping val="clustered"/>
        <c:ser>
          <c:idx val="0"/>
          <c:order val="0"/>
          <c:tx>
            <c:strRef>
              <c:f>'Overall Results'!$B$79</c:f>
              <c:strCache>
                <c:ptCount val="1"/>
                <c:pt idx="0">
                  <c:v>Happy</c:v>
                </c:pt>
              </c:strCache>
            </c:strRef>
          </c:tx>
          <c:cat>
            <c:strRef>
              <c:f>'Overall Results'!$A$80:$A$85</c:f>
              <c:strCache>
                <c:ptCount val="6"/>
                <c:pt idx="0">
                  <c:v>Getting dressed?</c:v>
                </c:pt>
                <c:pt idx="1">
                  <c:v>Washing?</c:v>
                </c:pt>
                <c:pt idx="2">
                  <c:v>Eating or drinking?</c:v>
                </c:pt>
                <c:pt idx="3">
                  <c:v>Moving about?</c:v>
                </c:pt>
                <c:pt idx="4">
                  <c:v>Taking part in social and recreational activities inside your centre? </c:v>
                </c:pt>
                <c:pt idx="5">
                  <c:v>Taking part in activities outside your centre?  </c:v>
                </c:pt>
              </c:strCache>
            </c:strRef>
          </c:cat>
          <c:val>
            <c:numRef>
              <c:f>'Overall Results'!$B$80:$B$85</c:f>
              <c:numCache>
                <c:formatCode>0.0</c:formatCode>
                <c:ptCount val="6"/>
                <c:pt idx="0">
                  <c:v>0</c:v>
                </c:pt>
                <c:pt idx="1">
                  <c:v>0</c:v>
                </c:pt>
                <c:pt idx="2">
                  <c:v>0</c:v>
                </c:pt>
                <c:pt idx="3">
                  <c:v>0</c:v>
                </c:pt>
                <c:pt idx="4">
                  <c:v>0</c:v>
                </c:pt>
                <c:pt idx="5">
                  <c:v>0</c:v>
                </c:pt>
              </c:numCache>
            </c:numRef>
          </c:val>
        </c:ser>
        <c:ser>
          <c:idx val="1"/>
          <c:order val="1"/>
          <c:tx>
            <c:strRef>
              <c:f>'Overall Results'!$C$79</c:f>
              <c:strCache>
                <c:ptCount val="1"/>
                <c:pt idx="0">
                  <c:v>Neutral</c:v>
                </c:pt>
              </c:strCache>
            </c:strRef>
          </c:tx>
          <c:cat>
            <c:strRef>
              <c:f>'Overall Results'!$A$80:$A$85</c:f>
              <c:strCache>
                <c:ptCount val="6"/>
                <c:pt idx="0">
                  <c:v>Getting dressed?</c:v>
                </c:pt>
                <c:pt idx="1">
                  <c:v>Washing?</c:v>
                </c:pt>
                <c:pt idx="2">
                  <c:v>Eating or drinking?</c:v>
                </c:pt>
                <c:pt idx="3">
                  <c:v>Moving about?</c:v>
                </c:pt>
                <c:pt idx="4">
                  <c:v>Taking part in social and recreational activities inside your centre? </c:v>
                </c:pt>
                <c:pt idx="5">
                  <c:v>Taking part in activities outside your centre?  </c:v>
                </c:pt>
              </c:strCache>
            </c:strRef>
          </c:cat>
          <c:val>
            <c:numRef>
              <c:f>'Overall Results'!$C$80:$C$85</c:f>
              <c:numCache>
                <c:formatCode>0.0</c:formatCode>
                <c:ptCount val="6"/>
                <c:pt idx="0">
                  <c:v>0</c:v>
                </c:pt>
                <c:pt idx="1">
                  <c:v>0</c:v>
                </c:pt>
                <c:pt idx="2">
                  <c:v>0</c:v>
                </c:pt>
                <c:pt idx="3">
                  <c:v>0</c:v>
                </c:pt>
                <c:pt idx="4">
                  <c:v>0</c:v>
                </c:pt>
                <c:pt idx="5">
                  <c:v>0</c:v>
                </c:pt>
              </c:numCache>
            </c:numRef>
          </c:val>
        </c:ser>
        <c:ser>
          <c:idx val="2"/>
          <c:order val="2"/>
          <c:tx>
            <c:strRef>
              <c:f>'Overall Results'!$D$79</c:f>
              <c:strCache>
                <c:ptCount val="1"/>
                <c:pt idx="0">
                  <c:v>UnHappy</c:v>
                </c:pt>
              </c:strCache>
            </c:strRef>
          </c:tx>
          <c:cat>
            <c:strRef>
              <c:f>'Overall Results'!$A$80:$A$85</c:f>
              <c:strCache>
                <c:ptCount val="6"/>
                <c:pt idx="0">
                  <c:v>Getting dressed?</c:v>
                </c:pt>
                <c:pt idx="1">
                  <c:v>Washing?</c:v>
                </c:pt>
                <c:pt idx="2">
                  <c:v>Eating or drinking?</c:v>
                </c:pt>
                <c:pt idx="3">
                  <c:v>Moving about?</c:v>
                </c:pt>
                <c:pt idx="4">
                  <c:v>Taking part in social and recreational activities inside your centre? </c:v>
                </c:pt>
                <c:pt idx="5">
                  <c:v>Taking part in activities outside your centre?  </c:v>
                </c:pt>
              </c:strCache>
            </c:strRef>
          </c:cat>
          <c:val>
            <c:numRef>
              <c:f>'Overall Results'!$D$80:$D$85</c:f>
              <c:numCache>
                <c:formatCode>0.0</c:formatCode>
                <c:ptCount val="6"/>
                <c:pt idx="0">
                  <c:v>0</c:v>
                </c:pt>
                <c:pt idx="1">
                  <c:v>0</c:v>
                </c:pt>
                <c:pt idx="2">
                  <c:v>0</c:v>
                </c:pt>
                <c:pt idx="3">
                  <c:v>0</c:v>
                </c:pt>
                <c:pt idx="4">
                  <c:v>0</c:v>
                </c:pt>
                <c:pt idx="5">
                  <c:v>0</c:v>
                </c:pt>
              </c:numCache>
            </c:numRef>
          </c:val>
        </c:ser>
        <c:ser>
          <c:idx val="3"/>
          <c:order val="3"/>
          <c:tx>
            <c:strRef>
              <c:f>'Overall Results'!$E$79</c:f>
              <c:strCache>
                <c:ptCount val="1"/>
                <c:pt idx="0">
                  <c:v>I do not need support</c:v>
                </c:pt>
              </c:strCache>
            </c:strRef>
          </c:tx>
          <c:cat>
            <c:strRef>
              <c:f>'Overall Results'!$A$80:$A$85</c:f>
              <c:strCache>
                <c:ptCount val="6"/>
                <c:pt idx="0">
                  <c:v>Getting dressed?</c:v>
                </c:pt>
                <c:pt idx="1">
                  <c:v>Washing?</c:v>
                </c:pt>
                <c:pt idx="2">
                  <c:v>Eating or drinking?</c:v>
                </c:pt>
                <c:pt idx="3">
                  <c:v>Moving about?</c:v>
                </c:pt>
                <c:pt idx="4">
                  <c:v>Taking part in social and recreational activities inside your centre? </c:v>
                </c:pt>
                <c:pt idx="5">
                  <c:v>Taking part in activities outside your centre?  </c:v>
                </c:pt>
              </c:strCache>
            </c:strRef>
          </c:cat>
          <c:val>
            <c:numRef>
              <c:f>'Overall Results'!$E$80:$E$85</c:f>
              <c:numCache>
                <c:formatCode>0.0</c:formatCode>
                <c:ptCount val="6"/>
                <c:pt idx="0">
                  <c:v>0</c:v>
                </c:pt>
                <c:pt idx="1">
                  <c:v>0</c:v>
                </c:pt>
                <c:pt idx="2">
                  <c:v>0</c:v>
                </c:pt>
                <c:pt idx="3">
                  <c:v>0</c:v>
                </c:pt>
                <c:pt idx="4">
                  <c:v>0</c:v>
                </c:pt>
                <c:pt idx="5">
                  <c:v>0</c:v>
                </c:pt>
              </c:numCache>
            </c:numRef>
          </c:val>
        </c:ser>
        <c:axId val="82113664"/>
        <c:axId val="82115200"/>
      </c:barChart>
      <c:catAx>
        <c:axId val="82113664"/>
        <c:scaling>
          <c:orientation val="minMax"/>
        </c:scaling>
        <c:axPos val="b"/>
        <c:majorTickMark val="none"/>
        <c:tickLblPos val="nextTo"/>
        <c:txPr>
          <a:bodyPr rot="-900000"/>
          <a:lstStyle/>
          <a:p>
            <a:pPr>
              <a:defRPr sz="750"/>
            </a:pPr>
            <a:endParaRPr lang="en-US"/>
          </a:p>
        </c:txPr>
        <c:crossAx val="82115200"/>
        <c:crosses val="autoZero"/>
        <c:auto val="1"/>
        <c:lblAlgn val="ctr"/>
        <c:lblOffset val="100"/>
      </c:catAx>
      <c:valAx>
        <c:axId val="82115200"/>
        <c:scaling>
          <c:orientation val="minMax"/>
          <c:max val="100"/>
          <c:min val="0"/>
        </c:scaling>
        <c:axPos val="l"/>
        <c:majorGridlines/>
        <c:numFmt formatCode="0.0" sourceLinked="1"/>
        <c:majorTickMark val="none"/>
        <c:tickLblPos val="nextTo"/>
        <c:crossAx val="82113664"/>
        <c:crosses val="autoZero"/>
        <c:crossBetween val="between"/>
      </c:valAx>
    </c:plotArea>
    <c:legend>
      <c:legendPos val="r"/>
      <c:layout>
        <c:manualLayout>
          <c:xMode val="edge"/>
          <c:yMode val="edge"/>
          <c:x val="0.84180850694444465"/>
          <c:y val="0.2495739583333334"/>
          <c:w val="0.14408038194444461"/>
          <c:h val="0.67194930555555676"/>
        </c:manualLayout>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IE"/>
  <c:chart>
    <c:title>
      <c:tx>
        <c:strRef>
          <c:f>'Overall Results'!$A$89:$D$89</c:f>
          <c:strCache>
            <c:ptCount val="1"/>
            <c:pt idx="0">
              <c:v>Who would you speak with if you were unhappy with something in your Centre</c:v>
            </c:pt>
          </c:strCache>
        </c:strRef>
      </c:tx>
    </c:title>
    <c:plotArea>
      <c:layout/>
      <c:barChart>
        <c:barDir val="col"/>
        <c:grouping val="clustered"/>
        <c:ser>
          <c:idx val="0"/>
          <c:order val="0"/>
          <c:dLbls>
            <c:showVal val="1"/>
          </c:dLbls>
          <c:cat>
            <c:strRef>
              <c:f>'Overall Results'!$A$91:$A$99</c:f>
              <c:strCache>
                <c:ptCount val="9"/>
                <c:pt idx="0">
                  <c:v>Staff member</c:v>
                </c:pt>
                <c:pt idx="1">
                  <c:v>Family member or friend</c:v>
                </c:pt>
                <c:pt idx="2">
                  <c:v>Don't know</c:v>
                </c:pt>
                <c:pt idx="3">
                  <c:v>Ombudsman</c:v>
                </c:pt>
                <c:pt idx="4">
                  <c:v>Confidential Recipient</c:v>
                </c:pt>
                <c:pt idx="5">
                  <c:v>Independent Advocate</c:v>
                </c:pt>
                <c:pt idx="6">
                  <c:v>Complaints Officer</c:v>
                </c:pt>
                <c:pt idx="7">
                  <c:v>Disability Manager</c:v>
                </c:pt>
                <c:pt idx="8">
                  <c:v>Not applicable to me</c:v>
                </c:pt>
              </c:strCache>
            </c:strRef>
          </c:cat>
          <c:val>
            <c:numRef>
              <c:f>'Overall Results'!$D$91:$D$99</c:f>
              <c:numCache>
                <c:formatCode>0.0</c:formatCode>
                <c:ptCount val="9"/>
                <c:pt idx="0">
                  <c:v>0</c:v>
                </c:pt>
                <c:pt idx="1">
                  <c:v>0</c:v>
                </c:pt>
                <c:pt idx="2">
                  <c:v>0</c:v>
                </c:pt>
                <c:pt idx="3">
                  <c:v>0</c:v>
                </c:pt>
                <c:pt idx="4">
                  <c:v>0</c:v>
                </c:pt>
                <c:pt idx="5">
                  <c:v>0</c:v>
                </c:pt>
                <c:pt idx="6">
                  <c:v>0</c:v>
                </c:pt>
                <c:pt idx="7">
                  <c:v>0</c:v>
                </c:pt>
                <c:pt idx="8">
                  <c:v>0</c:v>
                </c:pt>
              </c:numCache>
            </c:numRef>
          </c:val>
        </c:ser>
        <c:axId val="82155776"/>
        <c:axId val="82157568"/>
      </c:barChart>
      <c:catAx>
        <c:axId val="82155776"/>
        <c:scaling>
          <c:orientation val="minMax"/>
        </c:scaling>
        <c:axPos val="b"/>
        <c:majorTickMark val="none"/>
        <c:tickLblPos val="nextTo"/>
        <c:txPr>
          <a:bodyPr/>
          <a:lstStyle/>
          <a:p>
            <a:pPr>
              <a:defRPr sz="900"/>
            </a:pPr>
            <a:endParaRPr lang="en-US"/>
          </a:p>
        </c:txPr>
        <c:crossAx val="82157568"/>
        <c:crosses val="autoZero"/>
        <c:auto val="1"/>
        <c:lblAlgn val="ctr"/>
        <c:lblOffset val="100"/>
      </c:catAx>
      <c:valAx>
        <c:axId val="82157568"/>
        <c:scaling>
          <c:orientation val="minMax"/>
          <c:max val="100"/>
          <c:min val="0"/>
        </c:scaling>
        <c:axPos val="l"/>
        <c:majorGridlines/>
        <c:numFmt formatCode="0.0" sourceLinked="1"/>
        <c:majorTickMark val="none"/>
        <c:tickLblPos val="nextTo"/>
        <c:crossAx val="82155776"/>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IE"/>
  <c:chart>
    <c:title>
      <c:tx>
        <c:strRef>
          <c:f>'Overall Results'!$A$104:$D$104</c:f>
          <c:strCache>
            <c:ptCount val="1"/>
            <c:pt idx="0">
              <c:v>Complaints:</c:v>
            </c:pt>
          </c:strCache>
        </c:strRef>
      </c:tx>
    </c:title>
    <c:plotArea>
      <c:layout/>
      <c:barChart>
        <c:barDir val="col"/>
        <c:grouping val="clustered"/>
        <c:ser>
          <c:idx val="0"/>
          <c:order val="0"/>
          <c:tx>
            <c:strRef>
              <c:f>'Overall Results'!$B$105</c:f>
              <c:strCache>
                <c:ptCount val="1"/>
                <c:pt idx="0">
                  <c:v>Yes</c:v>
                </c:pt>
              </c:strCache>
            </c:strRef>
          </c:tx>
          <c:dLbls>
            <c:showVal val="1"/>
          </c:dLbls>
          <c:cat>
            <c:strRef>
              <c:f>'Overall Results'!$A$106:$A$107</c:f>
              <c:strCache>
                <c:ptCount val="2"/>
                <c:pt idx="0">
                  <c:v>Have you ever made a complaint about something in your Centre?</c:v>
                </c:pt>
                <c:pt idx="1">
                  <c:v>Were you happy with the way your complaint was dealt with?</c:v>
                </c:pt>
              </c:strCache>
            </c:strRef>
          </c:cat>
          <c:val>
            <c:numRef>
              <c:f>'Overall Results'!$B$106:$B$107</c:f>
              <c:numCache>
                <c:formatCode>0.0</c:formatCode>
                <c:ptCount val="2"/>
                <c:pt idx="0">
                  <c:v>0</c:v>
                </c:pt>
                <c:pt idx="1">
                  <c:v>0</c:v>
                </c:pt>
              </c:numCache>
            </c:numRef>
          </c:val>
        </c:ser>
        <c:ser>
          <c:idx val="1"/>
          <c:order val="1"/>
          <c:tx>
            <c:strRef>
              <c:f>'Overall Results'!$C$105</c:f>
              <c:strCache>
                <c:ptCount val="1"/>
                <c:pt idx="0">
                  <c:v>No</c:v>
                </c:pt>
              </c:strCache>
            </c:strRef>
          </c:tx>
          <c:dLbls>
            <c:showVal val="1"/>
          </c:dLbls>
          <c:cat>
            <c:strRef>
              <c:f>'Overall Results'!$A$106:$A$107</c:f>
              <c:strCache>
                <c:ptCount val="2"/>
                <c:pt idx="0">
                  <c:v>Have you ever made a complaint about something in your Centre?</c:v>
                </c:pt>
                <c:pt idx="1">
                  <c:v>Were you happy with the way your complaint was dealt with?</c:v>
                </c:pt>
              </c:strCache>
            </c:strRef>
          </c:cat>
          <c:val>
            <c:numRef>
              <c:f>'Overall Results'!$C$106:$C$107</c:f>
              <c:numCache>
                <c:formatCode>0.0</c:formatCode>
                <c:ptCount val="2"/>
                <c:pt idx="0">
                  <c:v>0</c:v>
                </c:pt>
                <c:pt idx="1">
                  <c:v>0</c:v>
                </c:pt>
              </c:numCache>
            </c:numRef>
          </c:val>
        </c:ser>
        <c:ser>
          <c:idx val="2"/>
          <c:order val="2"/>
          <c:tx>
            <c:strRef>
              <c:f>'Overall Results'!$D$105</c:f>
              <c:strCache>
                <c:ptCount val="1"/>
                <c:pt idx="0">
                  <c:v>Not applicable to me</c:v>
                </c:pt>
              </c:strCache>
            </c:strRef>
          </c:tx>
          <c:dLbls>
            <c:showVal val="1"/>
          </c:dLbls>
          <c:cat>
            <c:strRef>
              <c:f>'Overall Results'!$A$106:$A$107</c:f>
              <c:strCache>
                <c:ptCount val="2"/>
                <c:pt idx="0">
                  <c:v>Have you ever made a complaint about something in your Centre?</c:v>
                </c:pt>
                <c:pt idx="1">
                  <c:v>Were you happy with the way your complaint was dealt with?</c:v>
                </c:pt>
              </c:strCache>
            </c:strRef>
          </c:cat>
          <c:val>
            <c:numRef>
              <c:f>'Overall Results'!$D$106:$D$107</c:f>
              <c:numCache>
                <c:formatCode>0.0</c:formatCode>
                <c:ptCount val="2"/>
                <c:pt idx="0">
                  <c:v>0</c:v>
                </c:pt>
                <c:pt idx="1">
                  <c:v>0</c:v>
                </c:pt>
              </c:numCache>
            </c:numRef>
          </c:val>
        </c:ser>
        <c:axId val="82195200"/>
        <c:axId val="82196736"/>
      </c:barChart>
      <c:catAx>
        <c:axId val="82195200"/>
        <c:scaling>
          <c:orientation val="minMax"/>
        </c:scaling>
        <c:axPos val="b"/>
        <c:majorTickMark val="none"/>
        <c:tickLblPos val="nextTo"/>
        <c:crossAx val="82196736"/>
        <c:crosses val="autoZero"/>
        <c:auto val="1"/>
        <c:lblAlgn val="ctr"/>
        <c:lblOffset val="100"/>
      </c:catAx>
      <c:valAx>
        <c:axId val="82196736"/>
        <c:scaling>
          <c:orientation val="minMax"/>
          <c:max val="100"/>
          <c:min val="0"/>
        </c:scaling>
        <c:axPos val="l"/>
        <c:majorGridlines/>
        <c:numFmt formatCode="0.0" sourceLinked="1"/>
        <c:majorTickMark val="none"/>
        <c:tickLblPos val="nextTo"/>
        <c:crossAx val="82195200"/>
        <c:crosses val="autoZero"/>
        <c:crossBetween val="between"/>
      </c:valAx>
    </c:plotArea>
    <c:legend>
      <c:legendPos val="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IE"/>
  <c:chart>
    <c:title>
      <c:tx>
        <c:strRef>
          <c:f>'Overall Results'!$A$110:$D$110</c:f>
          <c:strCache>
            <c:ptCount val="1"/>
            <c:pt idx="0">
              <c:v>Person completing this form </c:v>
            </c:pt>
          </c:strCache>
        </c:strRef>
      </c:tx>
    </c:title>
    <c:plotArea>
      <c:layout/>
      <c:barChart>
        <c:barDir val="col"/>
        <c:grouping val="clustered"/>
        <c:ser>
          <c:idx val="0"/>
          <c:order val="0"/>
          <c:dLbls>
            <c:showVal val="1"/>
          </c:dLbls>
          <c:cat>
            <c:strRef>
              <c:f>'Overall Results'!$A$112:$A$115</c:f>
              <c:strCache>
                <c:ptCount val="4"/>
                <c:pt idx="0">
                  <c:v>Resident</c:v>
                </c:pt>
                <c:pt idx="1">
                  <c:v>Relative or friend</c:v>
                </c:pt>
                <c:pt idx="2">
                  <c:v>Staff member</c:v>
                </c:pt>
                <c:pt idx="3">
                  <c:v>Other</c:v>
                </c:pt>
              </c:strCache>
            </c:strRef>
          </c:cat>
          <c:val>
            <c:numRef>
              <c:f>'Overall Results'!$D$112:$D$115</c:f>
              <c:numCache>
                <c:formatCode>0.0</c:formatCode>
                <c:ptCount val="4"/>
                <c:pt idx="0">
                  <c:v>0</c:v>
                </c:pt>
                <c:pt idx="1">
                  <c:v>0</c:v>
                </c:pt>
                <c:pt idx="2">
                  <c:v>0</c:v>
                </c:pt>
                <c:pt idx="3">
                  <c:v>0</c:v>
                </c:pt>
              </c:numCache>
            </c:numRef>
          </c:val>
        </c:ser>
        <c:axId val="82245888"/>
        <c:axId val="82247680"/>
      </c:barChart>
      <c:catAx>
        <c:axId val="82245888"/>
        <c:scaling>
          <c:orientation val="minMax"/>
        </c:scaling>
        <c:axPos val="b"/>
        <c:majorTickMark val="none"/>
        <c:tickLblPos val="nextTo"/>
        <c:crossAx val="82247680"/>
        <c:crosses val="autoZero"/>
        <c:auto val="1"/>
        <c:lblAlgn val="ctr"/>
        <c:lblOffset val="100"/>
      </c:catAx>
      <c:valAx>
        <c:axId val="82247680"/>
        <c:scaling>
          <c:orientation val="minMax"/>
          <c:max val="100"/>
          <c:min val="0"/>
        </c:scaling>
        <c:axPos val="l"/>
        <c:majorGridlines/>
        <c:numFmt formatCode="0.0" sourceLinked="1"/>
        <c:majorTickMark val="none"/>
        <c:tickLblPos val="nextTo"/>
        <c:crossAx val="82245888"/>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E"/>
  <c:chart>
    <c:title>
      <c:tx>
        <c:strRef>
          <c:f>OverallResults!$A$56</c:f>
          <c:strCache>
            <c:ptCount val="1"/>
            <c:pt idx="0">
              <c:v>The amount of space you have for your belongings?</c:v>
            </c:pt>
          </c:strCache>
        </c:strRef>
      </c:tx>
    </c:title>
    <c:plotArea>
      <c:layout/>
      <c:barChart>
        <c:barDir val="col"/>
        <c:grouping val="clustered"/>
        <c:ser>
          <c:idx val="0"/>
          <c:order val="0"/>
          <c:dLbls>
            <c:showVal val="1"/>
          </c:dLbls>
          <c:cat>
            <c:strRef>
              <c:f>OverallResults!$A$58:$A$60</c:f>
              <c:strCache>
                <c:ptCount val="3"/>
                <c:pt idx="0">
                  <c:v>Happy</c:v>
                </c:pt>
                <c:pt idx="1">
                  <c:v>Neutral</c:v>
                </c:pt>
                <c:pt idx="2">
                  <c:v>Unhappy</c:v>
                </c:pt>
              </c:strCache>
            </c:strRef>
          </c:cat>
          <c:val>
            <c:numRef>
              <c:f>OverallResults!$D$58:$D$60</c:f>
              <c:numCache>
                <c:formatCode>0.0</c:formatCode>
                <c:ptCount val="3"/>
                <c:pt idx="0">
                  <c:v>0</c:v>
                </c:pt>
                <c:pt idx="1">
                  <c:v>0</c:v>
                </c:pt>
                <c:pt idx="2">
                  <c:v>0</c:v>
                </c:pt>
              </c:numCache>
            </c:numRef>
          </c:val>
        </c:ser>
        <c:axId val="73702400"/>
        <c:axId val="73708288"/>
      </c:barChart>
      <c:catAx>
        <c:axId val="73702400"/>
        <c:scaling>
          <c:orientation val="minMax"/>
        </c:scaling>
        <c:axPos val="b"/>
        <c:numFmt formatCode="General" sourceLinked="1"/>
        <c:majorTickMark val="none"/>
        <c:tickLblPos val="nextTo"/>
        <c:crossAx val="73708288"/>
        <c:crosses val="autoZero"/>
        <c:auto val="1"/>
        <c:lblAlgn val="ctr"/>
        <c:lblOffset val="100"/>
      </c:catAx>
      <c:valAx>
        <c:axId val="73708288"/>
        <c:scaling>
          <c:orientation val="minMax"/>
          <c:max val="100"/>
        </c:scaling>
        <c:axPos val="l"/>
        <c:majorGridlines/>
        <c:numFmt formatCode="0.0" sourceLinked="1"/>
        <c:majorTickMark val="none"/>
        <c:tickLblPos val="nextTo"/>
        <c:crossAx val="73702400"/>
        <c:crosses val="autoZero"/>
        <c:crossBetween val="between"/>
      </c:valAx>
    </c:plotArea>
    <c:plotVisOnly val="1"/>
    <c:dispBlanksAs val="gap"/>
  </c:chart>
  <c:printSettings>
    <c:headerFooter/>
    <c:pageMargins b="0.75000000000000511" l="0.70000000000000062" r="0.70000000000000062" t="0.750000000000005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IE"/>
  <c:chart>
    <c:title>
      <c:tx>
        <c:strRef>
          <c:f>'Overall Results'!$A$120:$D$120</c:f>
          <c:strCache>
            <c:ptCount val="1"/>
            <c:pt idx="0">
              <c:v>Would you like the PIC  to contact you to discuss anything in this questionnaire</c:v>
            </c:pt>
          </c:strCache>
        </c:strRef>
      </c:tx>
    </c:title>
    <c:plotArea>
      <c:layout/>
      <c:barChart>
        <c:barDir val="col"/>
        <c:grouping val="clustered"/>
        <c:ser>
          <c:idx val="0"/>
          <c:order val="0"/>
          <c:dLbls>
            <c:showVal val="1"/>
          </c:dLbls>
          <c:cat>
            <c:strRef>
              <c:f>'Overall Results'!$A$122:$A$123</c:f>
              <c:strCache>
                <c:ptCount val="2"/>
                <c:pt idx="0">
                  <c:v>Yes</c:v>
                </c:pt>
                <c:pt idx="1">
                  <c:v>No</c:v>
                </c:pt>
              </c:strCache>
            </c:strRef>
          </c:cat>
          <c:val>
            <c:numRef>
              <c:f>'Overall Results'!$D$122:$D$123</c:f>
              <c:numCache>
                <c:formatCode>0.0</c:formatCode>
                <c:ptCount val="2"/>
                <c:pt idx="0">
                  <c:v>0</c:v>
                </c:pt>
                <c:pt idx="1">
                  <c:v>0</c:v>
                </c:pt>
              </c:numCache>
            </c:numRef>
          </c:val>
        </c:ser>
        <c:axId val="82288640"/>
        <c:axId val="82290176"/>
      </c:barChart>
      <c:catAx>
        <c:axId val="82288640"/>
        <c:scaling>
          <c:orientation val="minMax"/>
        </c:scaling>
        <c:axPos val="b"/>
        <c:majorTickMark val="none"/>
        <c:tickLblPos val="nextTo"/>
        <c:crossAx val="82290176"/>
        <c:crosses val="autoZero"/>
        <c:auto val="1"/>
        <c:lblAlgn val="ctr"/>
        <c:lblOffset val="100"/>
      </c:catAx>
      <c:valAx>
        <c:axId val="82290176"/>
        <c:scaling>
          <c:orientation val="minMax"/>
          <c:max val="100"/>
          <c:min val="0"/>
        </c:scaling>
        <c:axPos val="l"/>
        <c:majorGridlines/>
        <c:numFmt formatCode="0.0" sourceLinked="1"/>
        <c:majorTickMark val="none"/>
        <c:tickLblPos val="nextTo"/>
        <c:crossAx val="82288640"/>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IE"/>
  <c:chart>
    <c:title>
      <c:tx>
        <c:strRef>
          <c:f>'Condition A'!$A$10</c:f>
          <c:strCache>
            <c:ptCount val="1"/>
            <c:pt idx="0">
              <c:v>How comfortable is your centre? </c:v>
            </c:pt>
          </c:strCache>
        </c:strRef>
      </c:tx>
    </c:title>
    <c:plotArea>
      <c:layout/>
      <c:barChart>
        <c:barDir val="col"/>
        <c:grouping val="clustered"/>
        <c:ser>
          <c:idx val="1"/>
          <c:order val="0"/>
          <c:dLbls>
            <c:showVal val="1"/>
          </c:dLbls>
          <c:cat>
            <c:strRef>
              <c:f>'Condition A'!$A$12:$A$20</c:f>
              <c:strCache>
                <c:ptCount val="9"/>
                <c:pt idx="0">
                  <c:v>Happy</c:v>
                </c:pt>
                <c:pt idx="1">
                  <c:v>Neutral</c:v>
                </c:pt>
                <c:pt idx="2">
                  <c:v>Unhappy</c:v>
                </c:pt>
                <c:pt idx="3">
                  <c:v>.</c:v>
                </c:pt>
                <c:pt idx="4">
                  <c:v>.</c:v>
                </c:pt>
                <c:pt idx="5">
                  <c:v>.</c:v>
                </c:pt>
                <c:pt idx="6">
                  <c:v>.</c:v>
                </c:pt>
                <c:pt idx="7">
                  <c:v>.</c:v>
                </c:pt>
                <c:pt idx="8">
                  <c:v>.</c:v>
                </c:pt>
              </c:strCache>
            </c:strRef>
          </c:cat>
          <c:val>
            <c:numRef>
              <c:f>'Condition A'!$D$12:$D$20</c:f>
              <c:numCache>
                <c:formatCode>0.0</c:formatCode>
                <c:ptCount val="9"/>
                <c:pt idx="0">
                  <c:v>0</c:v>
                </c:pt>
                <c:pt idx="1">
                  <c:v>0</c:v>
                </c:pt>
                <c:pt idx="2">
                  <c:v>0</c:v>
                </c:pt>
                <c:pt idx="3">
                  <c:v>0</c:v>
                </c:pt>
                <c:pt idx="4">
                  <c:v>0</c:v>
                </c:pt>
                <c:pt idx="5">
                  <c:v>0</c:v>
                </c:pt>
                <c:pt idx="6">
                  <c:v>0</c:v>
                </c:pt>
                <c:pt idx="7">
                  <c:v>0</c:v>
                </c:pt>
                <c:pt idx="8">
                  <c:v>0</c:v>
                </c:pt>
              </c:numCache>
            </c:numRef>
          </c:val>
        </c:ser>
        <c:axId val="83019264"/>
        <c:axId val="83020800"/>
      </c:barChart>
      <c:catAx>
        <c:axId val="83019264"/>
        <c:scaling>
          <c:orientation val="minMax"/>
        </c:scaling>
        <c:axPos val="b"/>
        <c:numFmt formatCode="General" sourceLinked="1"/>
        <c:majorTickMark val="none"/>
        <c:tickLblPos val="nextTo"/>
        <c:crossAx val="83020800"/>
        <c:crosses val="autoZero"/>
        <c:auto val="1"/>
        <c:lblAlgn val="ctr"/>
        <c:lblOffset val="100"/>
      </c:catAx>
      <c:valAx>
        <c:axId val="83020800"/>
        <c:scaling>
          <c:orientation val="minMax"/>
          <c:max val="100"/>
        </c:scaling>
        <c:axPos val="l"/>
        <c:majorGridlines/>
        <c:numFmt formatCode="0.0" sourceLinked="1"/>
        <c:majorTickMark val="none"/>
        <c:tickLblPos val="nextTo"/>
        <c:crossAx val="83019264"/>
        <c:crosses val="autoZero"/>
        <c:crossBetween val="between"/>
      </c:valAx>
    </c:plotArea>
    <c:plotVisOnly val="1"/>
    <c:dispBlanksAs val="gap"/>
  </c:chart>
  <c:printSettings>
    <c:headerFooter/>
    <c:pageMargins b="0.75000000000000444" l="0.70000000000000062" r="0.70000000000000062" t="0.7500000000000044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IE"/>
  <c:chart>
    <c:title>
      <c:tx>
        <c:strRef>
          <c:f>'Condition A'!$A$25</c:f>
          <c:strCache>
            <c:ptCount val="1"/>
            <c:pt idx="0">
              <c:v>How warm is your centre? </c:v>
            </c:pt>
          </c:strCache>
        </c:strRef>
      </c:tx>
    </c:title>
    <c:plotArea>
      <c:layout/>
      <c:barChart>
        <c:barDir val="col"/>
        <c:grouping val="clustered"/>
        <c:ser>
          <c:idx val="0"/>
          <c:order val="0"/>
          <c:dLbls>
            <c:showVal val="1"/>
          </c:dLbls>
          <c:cat>
            <c:strRef>
              <c:f>'Condition A'!$A$27:$A$35</c:f>
              <c:strCache>
                <c:ptCount val="9"/>
                <c:pt idx="0">
                  <c:v>Happy</c:v>
                </c:pt>
                <c:pt idx="1">
                  <c:v>Neutral</c:v>
                </c:pt>
                <c:pt idx="2">
                  <c:v>Unhappy</c:v>
                </c:pt>
                <c:pt idx="3">
                  <c:v>.</c:v>
                </c:pt>
                <c:pt idx="4">
                  <c:v>.</c:v>
                </c:pt>
                <c:pt idx="5">
                  <c:v>.</c:v>
                </c:pt>
                <c:pt idx="6">
                  <c:v>.</c:v>
                </c:pt>
                <c:pt idx="7">
                  <c:v>.</c:v>
                </c:pt>
                <c:pt idx="8">
                  <c:v>.</c:v>
                </c:pt>
              </c:strCache>
            </c:strRef>
          </c:cat>
          <c:val>
            <c:numRef>
              <c:f>'Condition A'!$D$27:$D$35</c:f>
              <c:numCache>
                <c:formatCode>0.0</c:formatCode>
                <c:ptCount val="9"/>
                <c:pt idx="0">
                  <c:v>0</c:v>
                </c:pt>
                <c:pt idx="1">
                  <c:v>0</c:v>
                </c:pt>
                <c:pt idx="2">
                  <c:v>0</c:v>
                </c:pt>
                <c:pt idx="3">
                  <c:v>0</c:v>
                </c:pt>
                <c:pt idx="4">
                  <c:v>0</c:v>
                </c:pt>
                <c:pt idx="5">
                  <c:v>0</c:v>
                </c:pt>
                <c:pt idx="6">
                  <c:v>0</c:v>
                </c:pt>
                <c:pt idx="7">
                  <c:v>0</c:v>
                </c:pt>
                <c:pt idx="8">
                  <c:v>0</c:v>
                </c:pt>
              </c:numCache>
            </c:numRef>
          </c:val>
        </c:ser>
        <c:axId val="84003456"/>
        <c:axId val="84009344"/>
      </c:barChart>
      <c:catAx>
        <c:axId val="84003456"/>
        <c:scaling>
          <c:orientation val="minMax"/>
        </c:scaling>
        <c:axPos val="b"/>
        <c:numFmt formatCode="General" sourceLinked="1"/>
        <c:majorTickMark val="none"/>
        <c:tickLblPos val="nextTo"/>
        <c:crossAx val="84009344"/>
        <c:crosses val="autoZero"/>
        <c:auto val="1"/>
        <c:lblAlgn val="ctr"/>
        <c:lblOffset val="100"/>
      </c:catAx>
      <c:valAx>
        <c:axId val="84009344"/>
        <c:scaling>
          <c:orientation val="minMax"/>
          <c:max val="100"/>
        </c:scaling>
        <c:axPos val="l"/>
        <c:majorGridlines/>
        <c:numFmt formatCode="0.0" sourceLinked="1"/>
        <c:majorTickMark val="none"/>
        <c:tickLblPos val="nextTo"/>
        <c:crossAx val="84003456"/>
        <c:crosses val="autoZero"/>
        <c:crossBetween val="between"/>
      </c:valAx>
    </c:plotArea>
    <c:plotVisOnly val="1"/>
    <c:dispBlanksAs val="gap"/>
  </c:chart>
  <c:printSettings>
    <c:headerFooter/>
    <c:pageMargins b="0.75000000000000466" l="0.70000000000000062" r="0.70000000000000062" t="0.750000000000004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IE"/>
  <c:chart>
    <c:title>
      <c:tx>
        <c:strRef>
          <c:f>'Condition A'!$A$41</c:f>
          <c:strCache>
            <c:ptCount val="1"/>
            <c:pt idx="0">
              <c:v>Your access to shared areas where you can spend time with other residents or visitors?</c:v>
            </c:pt>
          </c:strCache>
        </c:strRef>
      </c:tx>
    </c:title>
    <c:plotArea>
      <c:layout/>
      <c:barChart>
        <c:barDir val="col"/>
        <c:grouping val="clustered"/>
        <c:ser>
          <c:idx val="1"/>
          <c:order val="0"/>
          <c:dLbls>
            <c:showVal val="1"/>
          </c:dLbls>
          <c:cat>
            <c:strRef>
              <c:f>'Condition A'!$A$43:$A$51</c:f>
              <c:strCache>
                <c:ptCount val="9"/>
                <c:pt idx="0">
                  <c:v>Happy</c:v>
                </c:pt>
                <c:pt idx="1">
                  <c:v>Neutral</c:v>
                </c:pt>
                <c:pt idx="2">
                  <c:v>Unhappy</c:v>
                </c:pt>
                <c:pt idx="3">
                  <c:v>.</c:v>
                </c:pt>
                <c:pt idx="4">
                  <c:v>.</c:v>
                </c:pt>
                <c:pt idx="5">
                  <c:v>.</c:v>
                </c:pt>
                <c:pt idx="6">
                  <c:v>.</c:v>
                </c:pt>
                <c:pt idx="7">
                  <c:v>.</c:v>
                </c:pt>
                <c:pt idx="8">
                  <c:v>.</c:v>
                </c:pt>
              </c:strCache>
            </c:strRef>
          </c:cat>
          <c:val>
            <c:numRef>
              <c:f>'Condition A'!$D$43:$D$51</c:f>
              <c:numCache>
                <c:formatCode>0.0</c:formatCode>
                <c:ptCount val="9"/>
                <c:pt idx="0">
                  <c:v>0</c:v>
                </c:pt>
                <c:pt idx="1">
                  <c:v>0</c:v>
                </c:pt>
                <c:pt idx="2">
                  <c:v>0</c:v>
                </c:pt>
                <c:pt idx="3">
                  <c:v>0</c:v>
                </c:pt>
                <c:pt idx="4">
                  <c:v>0</c:v>
                </c:pt>
                <c:pt idx="5">
                  <c:v>0</c:v>
                </c:pt>
                <c:pt idx="6">
                  <c:v>0</c:v>
                </c:pt>
                <c:pt idx="7">
                  <c:v>0</c:v>
                </c:pt>
                <c:pt idx="8">
                  <c:v>0</c:v>
                </c:pt>
              </c:numCache>
            </c:numRef>
          </c:val>
        </c:ser>
        <c:axId val="83640320"/>
        <c:axId val="83641856"/>
      </c:barChart>
      <c:catAx>
        <c:axId val="83640320"/>
        <c:scaling>
          <c:orientation val="minMax"/>
        </c:scaling>
        <c:axPos val="b"/>
        <c:numFmt formatCode="General" sourceLinked="1"/>
        <c:majorTickMark val="none"/>
        <c:tickLblPos val="nextTo"/>
        <c:crossAx val="83641856"/>
        <c:crosses val="autoZero"/>
        <c:auto val="1"/>
        <c:lblAlgn val="ctr"/>
        <c:lblOffset val="100"/>
      </c:catAx>
      <c:valAx>
        <c:axId val="83641856"/>
        <c:scaling>
          <c:orientation val="minMax"/>
          <c:max val="100"/>
        </c:scaling>
        <c:axPos val="l"/>
        <c:majorGridlines/>
        <c:numFmt formatCode="0.0" sourceLinked="1"/>
        <c:majorTickMark val="none"/>
        <c:tickLblPos val="nextTo"/>
        <c:crossAx val="83640320"/>
        <c:crosses val="autoZero"/>
        <c:crossBetween val="between"/>
      </c:valAx>
    </c:plotArea>
    <c:plotVisOnly val="1"/>
    <c:dispBlanksAs val="gap"/>
  </c:chart>
  <c:printSettings>
    <c:headerFooter/>
    <c:pageMargins b="0.75000000000000488" l="0.70000000000000062" r="0.70000000000000062" t="0.7500000000000048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IE"/>
  <c:chart>
    <c:title>
      <c:tx>
        <c:strRef>
          <c:f>'Condition A'!$A$56</c:f>
          <c:strCache>
            <c:ptCount val="1"/>
            <c:pt idx="0">
              <c:v>Your access to a garden or outdoor area?</c:v>
            </c:pt>
          </c:strCache>
        </c:strRef>
      </c:tx>
    </c:title>
    <c:plotArea>
      <c:layout/>
      <c:barChart>
        <c:barDir val="col"/>
        <c:grouping val="clustered"/>
        <c:ser>
          <c:idx val="0"/>
          <c:order val="0"/>
          <c:dLbls>
            <c:showVal val="1"/>
          </c:dLbls>
          <c:cat>
            <c:strRef>
              <c:f>'Condition A'!$A$58:$A$66</c:f>
              <c:strCache>
                <c:ptCount val="9"/>
                <c:pt idx="0">
                  <c:v>Happy</c:v>
                </c:pt>
                <c:pt idx="1">
                  <c:v>Neutral</c:v>
                </c:pt>
                <c:pt idx="2">
                  <c:v>Unhappy</c:v>
                </c:pt>
                <c:pt idx="3">
                  <c:v>.</c:v>
                </c:pt>
                <c:pt idx="4">
                  <c:v>.</c:v>
                </c:pt>
                <c:pt idx="5">
                  <c:v>.</c:v>
                </c:pt>
                <c:pt idx="6">
                  <c:v>.</c:v>
                </c:pt>
                <c:pt idx="7">
                  <c:v>.</c:v>
                </c:pt>
                <c:pt idx="8">
                  <c:v>.</c:v>
                </c:pt>
              </c:strCache>
            </c:strRef>
          </c:cat>
          <c:val>
            <c:numRef>
              <c:f>'Condition A'!$D$58:$D$66</c:f>
              <c:numCache>
                <c:formatCode>0.0</c:formatCode>
                <c:ptCount val="9"/>
                <c:pt idx="0">
                  <c:v>0</c:v>
                </c:pt>
                <c:pt idx="1">
                  <c:v>0</c:v>
                </c:pt>
                <c:pt idx="2">
                  <c:v>0</c:v>
                </c:pt>
                <c:pt idx="3">
                  <c:v>0</c:v>
                </c:pt>
                <c:pt idx="4">
                  <c:v>0</c:v>
                </c:pt>
                <c:pt idx="5">
                  <c:v>0</c:v>
                </c:pt>
                <c:pt idx="6">
                  <c:v>0</c:v>
                </c:pt>
                <c:pt idx="7">
                  <c:v>0</c:v>
                </c:pt>
                <c:pt idx="8">
                  <c:v>0</c:v>
                </c:pt>
              </c:numCache>
            </c:numRef>
          </c:val>
        </c:ser>
        <c:axId val="83670144"/>
        <c:axId val="83671680"/>
      </c:barChart>
      <c:catAx>
        <c:axId val="83670144"/>
        <c:scaling>
          <c:orientation val="minMax"/>
        </c:scaling>
        <c:axPos val="b"/>
        <c:numFmt formatCode="General" sourceLinked="1"/>
        <c:majorTickMark val="none"/>
        <c:tickLblPos val="nextTo"/>
        <c:crossAx val="83671680"/>
        <c:crosses val="autoZero"/>
        <c:auto val="1"/>
        <c:lblAlgn val="ctr"/>
        <c:lblOffset val="100"/>
      </c:catAx>
      <c:valAx>
        <c:axId val="83671680"/>
        <c:scaling>
          <c:orientation val="minMax"/>
          <c:max val="100"/>
        </c:scaling>
        <c:axPos val="l"/>
        <c:majorGridlines/>
        <c:numFmt formatCode="0.0" sourceLinked="1"/>
        <c:majorTickMark val="none"/>
        <c:tickLblPos val="nextTo"/>
        <c:crossAx val="83670144"/>
        <c:crosses val="autoZero"/>
        <c:crossBetween val="between"/>
      </c:valAx>
    </c:plotArea>
    <c:plotVisOnly val="1"/>
    <c:dispBlanksAs val="gap"/>
  </c:chart>
  <c:printSettings>
    <c:headerFooter/>
    <c:pageMargins b="0.75000000000000511" l="0.70000000000000062" r="0.70000000000000062" t="0.7500000000000051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IE"/>
  <c:chart>
    <c:title>
      <c:tx>
        <c:strRef>
          <c:f>'Condition A'!$A$71</c:f>
          <c:strCache>
            <c:ptCount val="1"/>
            <c:pt idx="0">
              <c:v>Your bedroom?</c:v>
            </c:pt>
          </c:strCache>
        </c:strRef>
      </c:tx>
    </c:title>
    <c:plotArea>
      <c:layout/>
      <c:barChart>
        <c:barDir val="col"/>
        <c:grouping val="clustered"/>
        <c:ser>
          <c:idx val="1"/>
          <c:order val="0"/>
          <c:dLbls>
            <c:showVal val="1"/>
          </c:dLbls>
          <c:cat>
            <c:strRef>
              <c:f>'Condition A'!$A$73:$A$81</c:f>
              <c:strCache>
                <c:ptCount val="9"/>
                <c:pt idx="0">
                  <c:v>Happy</c:v>
                </c:pt>
                <c:pt idx="1">
                  <c:v>Neutral</c:v>
                </c:pt>
                <c:pt idx="2">
                  <c:v>Unhappy</c:v>
                </c:pt>
                <c:pt idx="3">
                  <c:v>.</c:v>
                </c:pt>
                <c:pt idx="4">
                  <c:v>.</c:v>
                </c:pt>
                <c:pt idx="5">
                  <c:v>.</c:v>
                </c:pt>
                <c:pt idx="6">
                  <c:v>.</c:v>
                </c:pt>
                <c:pt idx="7">
                  <c:v>.</c:v>
                </c:pt>
                <c:pt idx="8">
                  <c:v>.</c:v>
                </c:pt>
              </c:strCache>
            </c:strRef>
          </c:cat>
          <c:val>
            <c:numRef>
              <c:f>'Condition A'!$D$73:$D$81</c:f>
              <c:numCache>
                <c:formatCode>0.0</c:formatCode>
                <c:ptCount val="9"/>
                <c:pt idx="0">
                  <c:v>0</c:v>
                </c:pt>
                <c:pt idx="1">
                  <c:v>0</c:v>
                </c:pt>
                <c:pt idx="2">
                  <c:v>0</c:v>
                </c:pt>
                <c:pt idx="3">
                  <c:v>0</c:v>
                </c:pt>
                <c:pt idx="4">
                  <c:v>0</c:v>
                </c:pt>
                <c:pt idx="5">
                  <c:v>0</c:v>
                </c:pt>
                <c:pt idx="6">
                  <c:v>0</c:v>
                </c:pt>
                <c:pt idx="7">
                  <c:v>0</c:v>
                </c:pt>
                <c:pt idx="8">
                  <c:v>0</c:v>
                </c:pt>
              </c:numCache>
            </c:numRef>
          </c:val>
        </c:ser>
        <c:axId val="84162816"/>
        <c:axId val="84168704"/>
      </c:barChart>
      <c:catAx>
        <c:axId val="84162816"/>
        <c:scaling>
          <c:orientation val="minMax"/>
        </c:scaling>
        <c:axPos val="b"/>
        <c:numFmt formatCode="General" sourceLinked="1"/>
        <c:majorTickMark val="none"/>
        <c:tickLblPos val="nextTo"/>
        <c:crossAx val="84168704"/>
        <c:crosses val="autoZero"/>
        <c:auto val="1"/>
        <c:lblAlgn val="ctr"/>
        <c:lblOffset val="100"/>
      </c:catAx>
      <c:valAx>
        <c:axId val="84168704"/>
        <c:scaling>
          <c:orientation val="minMax"/>
          <c:max val="100"/>
        </c:scaling>
        <c:axPos val="l"/>
        <c:majorGridlines/>
        <c:numFmt formatCode="0.0" sourceLinked="1"/>
        <c:majorTickMark val="none"/>
        <c:tickLblPos val="nextTo"/>
        <c:crossAx val="84162816"/>
        <c:crosses val="autoZero"/>
        <c:crossBetween val="between"/>
      </c:valAx>
    </c:plotArea>
    <c:plotVisOnly val="1"/>
    <c:dispBlanksAs val="gap"/>
  </c:chart>
  <c:printSettings>
    <c:headerFooter/>
    <c:pageMargins b="0.75000000000000533" l="0.70000000000000062" r="0.70000000000000062" t="0.75000000000000533"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IE"/>
  <c:chart>
    <c:title>
      <c:tx>
        <c:strRef>
          <c:f>'Condition A'!$A$86</c:f>
          <c:strCache>
            <c:ptCount val="1"/>
            <c:pt idx="0">
              <c:v>The amount of space you have for your belongings?</c:v>
            </c:pt>
          </c:strCache>
        </c:strRef>
      </c:tx>
    </c:title>
    <c:plotArea>
      <c:layout/>
      <c:barChart>
        <c:barDir val="col"/>
        <c:grouping val="clustered"/>
        <c:ser>
          <c:idx val="0"/>
          <c:order val="0"/>
          <c:dLbls>
            <c:showVal val="1"/>
          </c:dLbls>
          <c:cat>
            <c:strRef>
              <c:f>'Condition A'!$A$88:$A$96</c:f>
              <c:strCache>
                <c:ptCount val="9"/>
                <c:pt idx="0">
                  <c:v>Happy</c:v>
                </c:pt>
                <c:pt idx="1">
                  <c:v>Neutral</c:v>
                </c:pt>
                <c:pt idx="2">
                  <c:v>Unhappy</c:v>
                </c:pt>
                <c:pt idx="3">
                  <c:v>.</c:v>
                </c:pt>
                <c:pt idx="4">
                  <c:v>.</c:v>
                </c:pt>
                <c:pt idx="5">
                  <c:v>.</c:v>
                </c:pt>
                <c:pt idx="6">
                  <c:v>.</c:v>
                </c:pt>
                <c:pt idx="7">
                  <c:v>.</c:v>
                </c:pt>
                <c:pt idx="8">
                  <c:v>.</c:v>
                </c:pt>
              </c:strCache>
            </c:strRef>
          </c:cat>
          <c:val>
            <c:numRef>
              <c:f>'Condition A'!$D$88:$D$96</c:f>
              <c:numCache>
                <c:formatCode>0.0</c:formatCode>
                <c:ptCount val="9"/>
                <c:pt idx="0">
                  <c:v>0</c:v>
                </c:pt>
                <c:pt idx="1">
                  <c:v>0</c:v>
                </c:pt>
                <c:pt idx="2">
                  <c:v>0</c:v>
                </c:pt>
                <c:pt idx="3">
                  <c:v>0</c:v>
                </c:pt>
                <c:pt idx="4">
                  <c:v>0</c:v>
                </c:pt>
                <c:pt idx="5">
                  <c:v>0</c:v>
                </c:pt>
                <c:pt idx="6">
                  <c:v>0</c:v>
                </c:pt>
                <c:pt idx="7">
                  <c:v>0</c:v>
                </c:pt>
                <c:pt idx="8">
                  <c:v>0</c:v>
                </c:pt>
              </c:numCache>
            </c:numRef>
          </c:val>
        </c:ser>
        <c:axId val="84180352"/>
        <c:axId val="84202624"/>
      </c:barChart>
      <c:catAx>
        <c:axId val="84180352"/>
        <c:scaling>
          <c:orientation val="minMax"/>
        </c:scaling>
        <c:axPos val="b"/>
        <c:numFmt formatCode="General" sourceLinked="1"/>
        <c:majorTickMark val="none"/>
        <c:tickLblPos val="nextTo"/>
        <c:crossAx val="84202624"/>
        <c:crosses val="autoZero"/>
        <c:auto val="1"/>
        <c:lblAlgn val="ctr"/>
        <c:lblOffset val="100"/>
      </c:catAx>
      <c:valAx>
        <c:axId val="84202624"/>
        <c:scaling>
          <c:orientation val="minMax"/>
          <c:max val="100"/>
        </c:scaling>
        <c:axPos val="l"/>
        <c:majorGridlines/>
        <c:numFmt formatCode="0.0" sourceLinked="1"/>
        <c:majorTickMark val="none"/>
        <c:tickLblPos val="nextTo"/>
        <c:crossAx val="84180352"/>
        <c:crosses val="autoZero"/>
        <c:crossBetween val="between"/>
      </c:valAx>
    </c:plotArea>
    <c:plotVisOnly val="1"/>
    <c:dispBlanksAs val="gap"/>
  </c:chart>
  <c:printSettings>
    <c:headerFooter/>
    <c:pageMargins b="0.75000000000000555" l="0.70000000000000062" r="0.70000000000000062" t="0.7500000000000055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IE"/>
  <c:chart>
    <c:title>
      <c:tx>
        <c:strRef>
          <c:f>'Condition A'!$A$101</c:f>
          <c:strCache>
            <c:ptCount val="1"/>
            <c:pt idx="0">
              <c:v>The security of your belongings?</c:v>
            </c:pt>
          </c:strCache>
        </c:strRef>
      </c:tx>
    </c:title>
    <c:plotArea>
      <c:layout/>
      <c:barChart>
        <c:barDir val="col"/>
        <c:grouping val="clustered"/>
        <c:ser>
          <c:idx val="1"/>
          <c:order val="0"/>
          <c:dLbls>
            <c:showVal val="1"/>
          </c:dLbls>
          <c:cat>
            <c:strRef>
              <c:f>'Condition A'!$A$103:$A$111</c:f>
              <c:strCache>
                <c:ptCount val="9"/>
                <c:pt idx="0">
                  <c:v>Happy</c:v>
                </c:pt>
                <c:pt idx="1">
                  <c:v>Neutral</c:v>
                </c:pt>
                <c:pt idx="2">
                  <c:v>Unhappy</c:v>
                </c:pt>
                <c:pt idx="3">
                  <c:v>.</c:v>
                </c:pt>
                <c:pt idx="4">
                  <c:v>.</c:v>
                </c:pt>
                <c:pt idx="5">
                  <c:v>.</c:v>
                </c:pt>
                <c:pt idx="6">
                  <c:v>.</c:v>
                </c:pt>
                <c:pt idx="7">
                  <c:v>.</c:v>
                </c:pt>
                <c:pt idx="8">
                  <c:v>.</c:v>
                </c:pt>
              </c:strCache>
            </c:strRef>
          </c:cat>
          <c:val>
            <c:numRef>
              <c:f>'Condition A'!$D$103:$D$111</c:f>
              <c:numCache>
                <c:formatCode>0.0</c:formatCode>
                <c:ptCount val="9"/>
                <c:pt idx="0">
                  <c:v>0</c:v>
                </c:pt>
                <c:pt idx="1">
                  <c:v>0</c:v>
                </c:pt>
                <c:pt idx="2">
                  <c:v>0</c:v>
                </c:pt>
                <c:pt idx="3">
                  <c:v>0</c:v>
                </c:pt>
                <c:pt idx="4">
                  <c:v>0</c:v>
                </c:pt>
                <c:pt idx="5">
                  <c:v>0</c:v>
                </c:pt>
                <c:pt idx="6">
                  <c:v>0</c:v>
                </c:pt>
                <c:pt idx="7">
                  <c:v>0</c:v>
                </c:pt>
                <c:pt idx="8">
                  <c:v>0</c:v>
                </c:pt>
              </c:numCache>
            </c:numRef>
          </c:val>
        </c:ser>
        <c:axId val="84112128"/>
        <c:axId val="84113664"/>
      </c:barChart>
      <c:catAx>
        <c:axId val="84112128"/>
        <c:scaling>
          <c:orientation val="minMax"/>
        </c:scaling>
        <c:axPos val="b"/>
        <c:numFmt formatCode="General" sourceLinked="1"/>
        <c:majorTickMark val="none"/>
        <c:tickLblPos val="nextTo"/>
        <c:crossAx val="84113664"/>
        <c:crosses val="autoZero"/>
        <c:auto val="1"/>
        <c:lblAlgn val="ctr"/>
        <c:lblOffset val="100"/>
      </c:catAx>
      <c:valAx>
        <c:axId val="84113664"/>
        <c:scaling>
          <c:orientation val="minMax"/>
          <c:max val="100"/>
        </c:scaling>
        <c:axPos val="l"/>
        <c:majorGridlines/>
        <c:numFmt formatCode="0.0" sourceLinked="1"/>
        <c:majorTickMark val="none"/>
        <c:tickLblPos val="nextTo"/>
        <c:crossAx val="84112128"/>
        <c:crosses val="autoZero"/>
        <c:crossBetween val="between"/>
      </c:valAx>
    </c:plotArea>
    <c:plotVisOnly val="1"/>
    <c:dispBlanksAs val="gap"/>
  </c:chart>
  <c:printSettings>
    <c:headerFooter/>
    <c:pageMargins b="0.75000000000000577" l="0.70000000000000062" r="0.70000000000000062" t="0.750000000000005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IE"/>
  <c:chart>
    <c:title>
      <c:tx>
        <c:strRef>
          <c:f>'Condition A'!$A$116</c:f>
          <c:strCache>
            <c:ptCount val="1"/>
            <c:pt idx="0">
              <c:v>Your laundry facilities?</c:v>
            </c:pt>
          </c:strCache>
        </c:strRef>
      </c:tx>
    </c:title>
    <c:plotArea>
      <c:layout/>
      <c:barChart>
        <c:barDir val="col"/>
        <c:grouping val="clustered"/>
        <c:ser>
          <c:idx val="0"/>
          <c:order val="0"/>
          <c:dLbls>
            <c:showVal val="1"/>
          </c:dLbls>
          <c:cat>
            <c:strRef>
              <c:f>'Condition A'!$A$118:$A$126</c:f>
              <c:strCache>
                <c:ptCount val="9"/>
                <c:pt idx="0">
                  <c:v>Happy</c:v>
                </c:pt>
                <c:pt idx="1">
                  <c:v>Neutral</c:v>
                </c:pt>
                <c:pt idx="2">
                  <c:v>Unhappy</c:v>
                </c:pt>
                <c:pt idx="3">
                  <c:v>.</c:v>
                </c:pt>
                <c:pt idx="4">
                  <c:v>.</c:v>
                </c:pt>
                <c:pt idx="5">
                  <c:v>.</c:v>
                </c:pt>
                <c:pt idx="6">
                  <c:v>.</c:v>
                </c:pt>
                <c:pt idx="7">
                  <c:v>.</c:v>
                </c:pt>
                <c:pt idx="8">
                  <c:v>.</c:v>
                </c:pt>
              </c:strCache>
            </c:strRef>
          </c:cat>
          <c:val>
            <c:numRef>
              <c:f>'Condition A'!$D$118:$D$126</c:f>
              <c:numCache>
                <c:formatCode>0.0</c:formatCode>
                <c:ptCount val="9"/>
                <c:pt idx="0">
                  <c:v>0</c:v>
                </c:pt>
                <c:pt idx="1">
                  <c:v>0</c:v>
                </c:pt>
                <c:pt idx="2">
                  <c:v>0</c:v>
                </c:pt>
                <c:pt idx="3">
                  <c:v>0</c:v>
                </c:pt>
                <c:pt idx="4">
                  <c:v>0</c:v>
                </c:pt>
                <c:pt idx="5">
                  <c:v>0</c:v>
                </c:pt>
                <c:pt idx="6">
                  <c:v>0</c:v>
                </c:pt>
                <c:pt idx="7">
                  <c:v>0</c:v>
                </c:pt>
                <c:pt idx="8">
                  <c:v>0</c:v>
                </c:pt>
              </c:numCache>
            </c:numRef>
          </c:val>
        </c:ser>
        <c:axId val="84133760"/>
        <c:axId val="84135296"/>
      </c:barChart>
      <c:catAx>
        <c:axId val="84133760"/>
        <c:scaling>
          <c:orientation val="minMax"/>
        </c:scaling>
        <c:axPos val="b"/>
        <c:numFmt formatCode="General" sourceLinked="1"/>
        <c:majorTickMark val="none"/>
        <c:tickLblPos val="nextTo"/>
        <c:crossAx val="84135296"/>
        <c:crosses val="autoZero"/>
        <c:auto val="1"/>
        <c:lblAlgn val="ctr"/>
        <c:lblOffset val="100"/>
      </c:catAx>
      <c:valAx>
        <c:axId val="84135296"/>
        <c:scaling>
          <c:orientation val="minMax"/>
          <c:max val="100"/>
        </c:scaling>
        <c:axPos val="l"/>
        <c:majorGridlines/>
        <c:numFmt formatCode="0.0" sourceLinked="1"/>
        <c:majorTickMark val="none"/>
        <c:tickLblPos val="nextTo"/>
        <c:crossAx val="84133760"/>
        <c:crosses val="autoZero"/>
        <c:crossBetween val="between"/>
      </c:valAx>
    </c:plotArea>
    <c:plotVisOnly val="1"/>
    <c:dispBlanksAs val="gap"/>
  </c:chart>
  <c:printSettings>
    <c:headerFooter/>
    <c:pageMargins b="0.750000000000006" l="0.70000000000000062" r="0.70000000000000062" t="0.750000000000006"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IE"/>
  <c:chart>
    <c:title>
      <c:tx>
        <c:strRef>
          <c:f>'Condition A'!$A$131</c:f>
          <c:strCache>
            <c:ptCount val="1"/>
            <c:pt idx="0">
              <c:v>Taste of the food?</c:v>
            </c:pt>
          </c:strCache>
        </c:strRef>
      </c:tx>
    </c:title>
    <c:plotArea>
      <c:layout/>
      <c:barChart>
        <c:barDir val="col"/>
        <c:grouping val="clustered"/>
        <c:ser>
          <c:idx val="1"/>
          <c:order val="0"/>
          <c:dLbls>
            <c:showVal val="1"/>
          </c:dLbls>
          <c:cat>
            <c:strRef>
              <c:f>'Condition A'!$A$133:$A$141</c:f>
              <c:strCache>
                <c:ptCount val="9"/>
                <c:pt idx="0">
                  <c:v>Happy</c:v>
                </c:pt>
                <c:pt idx="1">
                  <c:v>Neutral</c:v>
                </c:pt>
                <c:pt idx="2">
                  <c:v>Unhappy</c:v>
                </c:pt>
                <c:pt idx="3">
                  <c:v>.</c:v>
                </c:pt>
                <c:pt idx="4">
                  <c:v>.</c:v>
                </c:pt>
                <c:pt idx="5">
                  <c:v>.</c:v>
                </c:pt>
                <c:pt idx="6">
                  <c:v>.</c:v>
                </c:pt>
                <c:pt idx="7">
                  <c:v>.</c:v>
                </c:pt>
                <c:pt idx="8">
                  <c:v>.</c:v>
                </c:pt>
              </c:strCache>
            </c:strRef>
          </c:cat>
          <c:val>
            <c:numRef>
              <c:f>'Condition A'!$D$133:$D$141</c:f>
              <c:numCache>
                <c:formatCode>0.0</c:formatCode>
                <c:ptCount val="9"/>
                <c:pt idx="0">
                  <c:v>0</c:v>
                </c:pt>
                <c:pt idx="1">
                  <c:v>0</c:v>
                </c:pt>
                <c:pt idx="2">
                  <c:v>0</c:v>
                </c:pt>
                <c:pt idx="3">
                  <c:v>0</c:v>
                </c:pt>
                <c:pt idx="4">
                  <c:v>0</c:v>
                </c:pt>
                <c:pt idx="5">
                  <c:v>0</c:v>
                </c:pt>
                <c:pt idx="6">
                  <c:v>0</c:v>
                </c:pt>
                <c:pt idx="7">
                  <c:v>0</c:v>
                </c:pt>
                <c:pt idx="8">
                  <c:v>0</c:v>
                </c:pt>
              </c:numCache>
            </c:numRef>
          </c:val>
        </c:ser>
        <c:axId val="84306944"/>
        <c:axId val="84312832"/>
      </c:barChart>
      <c:catAx>
        <c:axId val="84306944"/>
        <c:scaling>
          <c:orientation val="minMax"/>
        </c:scaling>
        <c:axPos val="b"/>
        <c:numFmt formatCode="General" sourceLinked="1"/>
        <c:majorTickMark val="none"/>
        <c:tickLblPos val="nextTo"/>
        <c:crossAx val="84312832"/>
        <c:crosses val="autoZero"/>
        <c:auto val="1"/>
        <c:lblAlgn val="ctr"/>
        <c:lblOffset val="100"/>
      </c:catAx>
      <c:valAx>
        <c:axId val="84312832"/>
        <c:scaling>
          <c:orientation val="minMax"/>
          <c:max val="100"/>
        </c:scaling>
        <c:axPos val="l"/>
        <c:majorGridlines/>
        <c:numFmt formatCode="0.0" sourceLinked="1"/>
        <c:majorTickMark val="none"/>
        <c:tickLblPos val="nextTo"/>
        <c:crossAx val="84306944"/>
        <c:crosses val="autoZero"/>
        <c:crossBetween val="between"/>
      </c:valAx>
    </c:plotArea>
    <c:plotVisOnly val="1"/>
    <c:dispBlanksAs val="gap"/>
  </c:chart>
  <c:printSettings>
    <c:headerFooter/>
    <c:pageMargins b="0.75000000000000622" l="0.70000000000000062" r="0.70000000000000062" t="0.750000000000006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E"/>
  <c:chart>
    <c:title>
      <c:tx>
        <c:strRef>
          <c:f>OverallResults!$A$65</c:f>
          <c:strCache>
            <c:ptCount val="1"/>
            <c:pt idx="0">
              <c:v>The security of your belongings?</c:v>
            </c:pt>
          </c:strCache>
        </c:strRef>
      </c:tx>
    </c:title>
    <c:plotArea>
      <c:layout/>
      <c:barChart>
        <c:barDir val="col"/>
        <c:grouping val="clustered"/>
        <c:ser>
          <c:idx val="1"/>
          <c:order val="0"/>
          <c:dLbls>
            <c:showVal val="1"/>
          </c:dLbls>
          <c:cat>
            <c:strRef>
              <c:f>OverallResults!$A$67:$A$69</c:f>
              <c:strCache>
                <c:ptCount val="3"/>
                <c:pt idx="0">
                  <c:v>Happy</c:v>
                </c:pt>
                <c:pt idx="1">
                  <c:v>Neutral</c:v>
                </c:pt>
                <c:pt idx="2">
                  <c:v>Unhappy</c:v>
                </c:pt>
              </c:strCache>
            </c:strRef>
          </c:cat>
          <c:val>
            <c:numRef>
              <c:f>OverallResults!$D$67:$D$69</c:f>
              <c:numCache>
                <c:formatCode>0.0</c:formatCode>
                <c:ptCount val="3"/>
                <c:pt idx="0">
                  <c:v>0</c:v>
                </c:pt>
                <c:pt idx="1">
                  <c:v>0</c:v>
                </c:pt>
                <c:pt idx="2">
                  <c:v>0</c:v>
                </c:pt>
              </c:numCache>
            </c:numRef>
          </c:val>
        </c:ser>
        <c:axId val="73810304"/>
        <c:axId val="73811840"/>
      </c:barChart>
      <c:catAx>
        <c:axId val="73810304"/>
        <c:scaling>
          <c:orientation val="minMax"/>
        </c:scaling>
        <c:axPos val="b"/>
        <c:numFmt formatCode="General" sourceLinked="1"/>
        <c:majorTickMark val="none"/>
        <c:tickLblPos val="nextTo"/>
        <c:crossAx val="73811840"/>
        <c:crosses val="autoZero"/>
        <c:auto val="1"/>
        <c:lblAlgn val="ctr"/>
        <c:lblOffset val="100"/>
      </c:catAx>
      <c:valAx>
        <c:axId val="73811840"/>
        <c:scaling>
          <c:orientation val="minMax"/>
          <c:max val="100"/>
        </c:scaling>
        <c:axPos val="l"/>
        <c:majorGridlines/>
        <c:numFmt formatCode="0.0" sourceLinked="1"/>
        <c:majorTickMark val="none"/>
        <c:tickLblPos val="nextTo"/>
        <c:crossAx val="73810304"/>
        <c:crosses val="autoZero"/>
        <c:crossBetween val="between"/>
      </c:valAx>
    </c:plotArea>
    <c:plotVisOnly val="1"/>
    <c:dispBlanksAs val="gap"/>
  </c:chart>
  <c:printSettings>
    <c:headerFooter/>
    <c:pageMargins b="0.75000000000000533" l="0.70000000000000062" r="0.70000000000000062" t="0.75000000000000533"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IE"/>
  <c:chart>
    <c:title>
      <c:tx>
        <c:strRef>
          <c:f>'Condition A'!$A$146</c:f>
          <c:strCache>
            <c:ptCount val="1"/>
            <c:pt idx="0">
              <c:v>Choice of food?</c:v>
            </c:pt>
          </c:strCache>
        </c:strRef>
      </c:tx>
    </c:title>
    <c:plotArea>
      <c:layout/>
      <c:barChart>
        <c:barDir val="col"/>
        <c:grouping val="clustered"/>
        <c:ser>
          <c:idx val="0"/>
          <c:order val="0"/>
          <c:dLbls>
            <c:showVal val="1"/>
          </c:dLbls>
          <c:cat>
            <c:strRef>
              <c:f>'Condition A'!$A$148:$A$156</c:f>
              <c:strCache>
                <c:ptCount val="9"/>
                <c:pt idx="0">
                  <c:v>Happy</c:v>
                </c:pt>
                <c:pt idx="1">
                  <c:v>Neutral</c:v>
                </c:pt>
                <c:pt idx="2">
                  <c:v>Unhappy</c:v>
                </c:pt>
                <c:pt idx="3">
                  <c:v>.</c:v>
                </c:pt>
                <c:pt idx="4">
                  <c:v>.</c:v>
                </c:pt>
                <c:pt idx="5">
                  <c:v>.</c:v>
                </c:pt>
                <c:pt idx="6">
                  <c:v>.</c:v>
                </c:pt>
                <c:pt idx="7">
                  <c:v>.</c:v>
                </c:pt>
                <c:pt idx="8">
                  <c:v>.</c:v>
                </c:pt>
              </c:strCache>
            </c:strRef>
          </c:cat>
          <c:val>
            <c:numRef>
              <c:f>'Condition A'!$D$148:$D$156</c:f>
              <c:numCache>
                <c:formatCode>0.0</c:formatCode>
                <c:ptCount val="9"/>
                <c:pt idx="0">
                  <c:v>0</c:v>
                </c:pt>
                <c:pt idx="1">
                  <c:v>0</c:v>
                </c:pt>
                <c:pt idx="2">
                  <c:v>0</c:v>
                </c:pt>
                <c:pt idx="3">
                  <c:v>0</c:v>
                </c:pt>
                <c:pt idx="4">
                  <c:v>0</c:v>
                </c:pt>
                <c:pt idx="5">
                  <c:v>0</c:v>
                </c:pt>
                <c:pt idx="6">
                  <c:v>0</c:v>
                </c:pt>
                <c:pt idx="7">
                  <c:v>0</c:v>
                </c:pt>
                <c:pt idx="8">
                  <c:v>0</c:v>
                </c:pt>
              </c:numCache>
            </c:numRef>
          </c:val>
        </c:ser>
        <c:axId val="84349312"/>
        <c:axId val="84350848"/>
      </c:barChart>
      <c:catAx>
        <c:axId val="84349312"/>
        <c:scaling>
          <c:orientation val="minMax"/>
        </c:scaling>
        <c:axPos val="b"/>
        <c:numFmt formatCode="General" sourceLinked="1"/>
        <c:majorTickMark val="none"/>
        <c:tickLblPos val="nextTo"/>
        <c:crossAx val="84350848"/>
        <c:crosses val="autoZero"/>
        <c:auto val="1"/>
        <c:lblAlgn val="ctr"/>
        <c:lblOffset val="100"/>
      </c:catAx>
      <c:valAx>
        <c:axId val="84350848"/>
        <c:scaling>
          <c:orientation val="minMax"/>
          <c:max val="100"/>
        </c:scaling>
        <c:axPos val="l"/>
        <c:majorGridlines/>
        <c:numFmt formatCode="0.0" sourceLinked="1"/>
        <c:majorTickMark val="none"/>
        <c:tickLblPos val="nextTo"/>
        <c:crossAx val="84349312"/>
        <c:crosses val="autoZero"/>
        <c:crossBetween val="between"/>
      </c:valAx>
    </c:plotArea>
    <c:plotVisOnly val="1"/>
    <c:dispBlanksAs val="gap"/>
  </c:chart>
  <c:printSettings>
    <c:headerFooter/>
    <c:pageMargins b="0.75000000000000644" l="0.70000000000000062" r="0.70000000000000062" t="0.75000000000000644"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IE"/>
  <c:chart>
    <c:title>
      <c:tx>
        <c:strRef>
          <c:f>'Condition A'!$A$161</c:f>
          <c:strCache>
            <c:ptCount val="1"/>
            <c:pt idx="0">
              <c:v>Amount of food?</c:v>
            </c:pt>
          </c:strCache>
        </c:strRef>
      </c:tx>
    </c:title>
    <c:plotArea>
      <c:layout/>
      <c:barChart>
        <c:barDir val="col"/>
        <c:grouping val="clustered"/>
        <c:ser>
          <c:idx val="0"/>
          <c:order val="0"/>
          <c:dLbls>
            <c:showVal val="1"/>
          </c:dLbls>
          <c:cat>
            <c:strRef>
              <c:f>'Condition A'!$A$163:$A$171</c:f>
              <c:strCache>
                <c:ptCount val="9"/>
                <c:pt idx="0">
                  <c:v>Happy</c:v>
                </c:pt>
                <c:pt idx="1">
                  <c:v>Neutral</c:v>
                </c:pt>
                <c:pt idx="2">
                  <c:v>Unhappy</c:v>
                </c:pt>
                <c:pt idx="3">
                  <c:v>.</c:v>
                </c:pt>
                <c:pt idx="4">
                  <c:v>.</c:v>
                </c:pt>
                <c:pt idx="5">
                  <c:v>.</c:v>
                </c:pt>
                <c:pt idx="6">
                  <c:v>.</c:v>
                </c:pt>
                <c:pt idx="7">
                  <c:v>.</c:v>
                </c:pt>
                <c:pt idx="8">
                  <c:v>.</c:v>
                </c:pt>
              </c:strCache>
            </c:strRef>
          </c:cat>
          <c:val>
            <c:numRef>
              <c:f>'Condition A'!$D$163:$D$171</c:f>
              <c:numCache>
                <c:formatCode>0.0</c:formatCode>
                <c:ptCount val="9"/>
                <c:pt idx="0">
                  <c:v>0</c:v>
                </c:pt>
                <c:pt idx="1">
                  <c:v>0</c:v>
                </c:pt>
                <c:pt idx="2">
                  <c:v>0</c:v>
                </c:pt>
                <c:pt idx="3">
                  <c:v>0</c:v>
                </c:pt>
                <c:pt idx="4">
                  <c:v>0</c:v>
                </c:pt>
                <c:pt idx="5">
                  <c:v>0</c:v>
                </c:pt>
                <c:pt idx="6">
                  <c:v>0</c:v>
                </c:pt>
                <c:pt idx="7">
                  <c:v>0</c:v>
                </c:pt>
                <c:pt idx="8">
                  <c:v>0</c:v>
                </c:pt>
              </c:numCache>
            </c:numRef>
          </c:val>
        </c:ser>
        <c:axId val="84375040"/>
        <c:axId val="84376576"/>
      </c:barChart>
      <c:catAx>
        <c:axId val="84375040"/>
        <c:scaling>
          <c:orientation val="minMax"/>
        </c:scaling>
        <c:axPos val="b"/>
        <c:numFmt formatCode="General" sourceLinked="1"/>
        <c:majorTickMark val="none"/>
        <c:tickLblPos val="nextTo"/>
        <c:crossAx val="84376576"/>
        <c:crosses val="autoZero"/>
        <c:auto val="1"/>
        <c:lblAlgn val="ctr"/>
        <c:lblOffset val="100"/>
      </c:catAx>
      <c:valAx>
        <c:axId val="84376576"/>
        <c:scaling>
          <c:orientation val="minMax"/>
          <c:max val="100"/>
        </c:scaling>
        <c:axPos val="l"/>
        <c:majorGridlines/>
        <c:numFmt formatCode="0.0" sourceLinked="1"/>
        <c:majorTickMark val="none"/>
        <c:tickLblPos val="nextTo"/>
        <c:crossAx val="84375040"/>
        <c:crosses val="autoZero"/>
        <c:crossBetween val="between"/>
      </c:valAx>
    </c:plotArea>
    <c:plotVisOnly val="1"/>
    <c:dispBlanksAs val="gap"/>
  </c:chart>
  <c:printSettings>
    <c:headerFooter/>
    <c:pageMargins b="0.75000000000000666" l="0.70000000000000062" r="0.70000000000000062" t="0.75000000000000666"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IE"/>
  <c:chart>
    <c:title>
      <c:tx>
        <c:strRef>
          <c:f>'Condition A'!$A$176</c:f>
          <c:strCache>
            <c:ptCount val="1"/>
            <c:pt idx="0">
              <c:v>Temperature of the food?</c:v>
            </c:pt>
          </c:strCache>
        </c:strRef>
      </c:tx>
    </c:title>
    <c:plotArea>
      <c:layout/>
      <c:barChart>
        <c:barDir val="col"/>
        <c:grouping val="clustered"/>
        <c:ser>
          <c:idx val="0"/>
          <c:order val="0"/>
          <c:dLbls>
            <c:showVal val="1"/>
          </c:dLbls>
          <c:cat>
            <c:strRef>
              <c:f>'Condition A'!$A$178:$A$186</c:f>
              <c:strCache>
                <c:ptCount val="9"/>
                <c:pt idx="0">
                  <c:v>Happy</c:v>
                </c:pt>
                <c:pt idx="1">
                  <c:v>Neutral</c:v>
                </c:pt>
                <c:pt idx="2">
                  <c:v>Unhappy</c:v>
                </c:pt>
                <c:pt idx="3">
                  <c:v>.</c:v>
                </c:pt>
                <c:pt idx="4">
                  <c:v>.</c:v>
                </c:pt>
                <c:pt idx="5">
                  <c:v>.</c:v>
                </c:pt>
                <c:pt idx="6">
                  <c:v>.</c:v>
                </c:pt>
                <c:pt idx="7">
                  <c:v>.</c:v>
                </c:pt>
                <c:pt idx="8">
                  <c:v>.</c:v>
                </c:pt>
              </c:strCache>
            </c:strRef>
          </c:cat>
          <c:val>
            <c:numRef>
              <c:f>'Condition A'!$D$178:$D$186</c:f>
              <c:numCache>
                <c:formatCode>0.0</c:formatCode>
                <c:ptCount val="9"/>
                <c:pt idx="0">
                  <c:v>0</c:v>
                </c:pt>
                <c:pt idx="1">
                  <c:v>0</c:v>
                </c:pt>
                <c:pt idx="2">
                  <c:v>0</c:v>
                </c:pt>
                <c:pt idx="3">
                  <c:v>0</c:v>
                </c:pt>
                <c:pt idx="4">
                  <c:v>0</c:v>
                </c:pt>
                <c:pt idx="5">
                  <c:v>0</c:v>
                </c:pt>
                <c:pt idx="6">
                  <c:v>0</c:v>
                </c:pt>
                <c:pt idx="7">
                  <c:v>0</c:v>
                </c:pt>
                <c:pt idx="8">
                  <c:v>0</c:v>
                </c:pt>
              </c:numCache>
            </c:numRef>
          </c:val>
        </c:ser>
        <c:axId val="84413056"/>
        <c:axId val="84423040"/>
      </c:barChart>
      <c:catAx>
        <c:axId val="84413056"/>
        <c:scaling>
          <c:orientation val="minMax"/>
        </c:scaling>
        <c:axPos val="b"/>
        <c:numFmt formatCode="General" sourceLinked="1"/>
        <c:majorTickMark val="none"/>
        <c:tickLblPos val="nextTo"/>
        <c:crossAx val="84423040"/>
        <c:crosses val="autoZero"/>
        <c:auto val="1"/>
        <c:lblAlgn val="ctr"/>
        <c:lblOffset val="100"/>
      </c:catAx>
      <c:valAx>
        <c:axId val="84423040"/>
        <c:scaling>
          <c:orientation val="minMax"/>
          <c:max val="100"/>
        </c:scaling>
        <c:axPos val="l"/>
        <c:majorGridlines/>
        <c:numFmt formatCode="0.0" sourceLinked="1"/>
        <c:majorTickMark val="none"/>
        <c:tickLblPos val="nextTo"/>
        <c:crossAx val="84413056"/>
        <c:crosses val="autoZero"/>
        <c:crossBetween val="between"/>
      </c:valAx>
    </c:plotArea>
    <c:plotVisOnly val="1"/>
    <c:dispBlanksAs val="gap"/>
  </c:chart>
  <c:printSettings>
    <c:headerFooter/>
    <c:pageMargins b="0.75000000000000688" l="0.70000000000000062" r="0.70000000000000062" t="0.75000000000000688"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IE"/>
  <c:chart>
    <c:title>
      <c:tx>
        <c:strRef>
          <c:f>'Condition A'!$A$191</c:f>
          <c:strCache>
            <c:ptCount val="1"/>
            <c:pt idx="0">
              <c:v>Times the meals are served?</c:v>
            </c:pt>
          </c:strCache>
        </c:strRef>
      </c:tx>
    </c:title>
    <c:plotArea>
      <c:layout/>
      <c:barChart>
        <c:barDir val="col"/>
        <c:grouping val="clustered"/>
        <c:ser>
          <c:idx val="0"/>
          <c:order val="0"/>
          <c:dLbls>
            <c:showVal val="1"/>
          </c:dLbls>
          <c:cat>
            <c:strRef>
              <c:f>'Condition A'!$A$193:$A$201</c:f>
              <c:strCache>
                <c:ptCount val="9"/>
                <c:pt idx="0">
                  <c:v>Happy</c:v>
                </c:pt>
                <c:pt idx="1">
                  <c:v>Neutral</c:v>
                </c:pt>
                <c:pt idx="2">
                  <c:v>Unhappy</c:v>
                </c:pt>
                <c:pt idx="3">
                  <c:v>.</c:v>
                </c:pt>
                <c:pt idx="4">
                  <c:v>.</c:v>
                </c:pt>
                <c:pt idx="5">
                  <c:v>.</c:v>
                </c:pt>
                <c:pt idx="6">
                  <c:v>.</c:v>
                </c:pt>
                <c:pt idx="7">
                  <c:v>.</c:v>
                </c:pt>
                <c:pt idx="8">
                  <c:v>.</c:v>
                </c:pt>
              </c:strCache>
            </c:strRef>
          </c:cat>
          <c:val>
            <c:numRef>
              <c:f>'Condition A'!$D$193:$D$201</c:f>
              <c:numCache>
                <c:formatCode>0.0</c:formatCode>
                <c:ptCount val="9"/>
                <c:pt idx="0">
                  <c:v>0</c:v>
                </c:pt>
                <c:pt idx="1">
                  <c:v>0</c:v>
                </c:pt>
                <c:pt idx="2">
                  <c:v>0</c:v>
                </c:pt>
                <c:pt idx="3">
                  <c:v>0</c:v>
                </c:pt>
                <c:pt idx="4">
                  <c:v>0</c:v>
                </c:pt>
                <c:pt idx="5">
                  <c:v>0</c:v>
                </c:pt>
                <c:pt idx="6">
                  <c:v>0</c:v>
                </c:pt>
                <c:pt idx="7">
                  <c:v>0</c:v>
                </c:pt>
                <c:pt idx="8">
                  <c:v>0</c:v>
                </c:pt>
              </c:numCache>
            </c:numRef>
          </c:val>
        </c:ser>
        <c:axId val="84455424"/>
        <c:axId val="84456960"/>
      </c:barChart>
      <c:catAx>
        <c:axId val="84455424"/>
        <c:scaling>
          <c:orientation val="minMax"/>
        </c:scaling>
        <c:axPos val="b"/>
        <c:numFmt formatCode="General" sourceLinked="1"/>
        <c:majorTickMark val="none"/>
        <c:tickLblPos val="nextTo"/>
        <c:crossAx val="84456960"/>
        <c:crosses val="autoZero"/>
        <c:auto val="1"/>
        <c:lblAlgn val="ctr"/>
        <c:lblOffset val="100"/>
      </c:catAx>
      <c:valAx>
        <c:axId val="84456960"/>
        <c:scaling>
          <c:orientation val="minMax"/>
          <c:max val="100"/>
        </c:scaling>
        <c:axPos val="l"/>
        <c:majorGridlines/>
        <c:numFmt formatCode="0.0" sourceLinked="1"/>
        <c:majorTickMark val="none"/>
        <c:tickLblPos val="nextTo"/>
        <c:crossAx val="84455424"/>
        <c:crosses val="autoZero"/>
        <c:crossBetween val="between"/>
      </c:valAx>
    </c:plotArea>
    <c:plotVisOnly val="1"/>
    <c:dispBlanksAs val="gap"/>
  </c:chart>
  <c:printSettings>
    <c:headerFooter/>
    <c:pageMargins b="0.75000000000000711" l="0.70000000000000062" r="0.70000000000000062" t="0.75000000000000711"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IE"/>
  <c:chart>
    <c:title>
      <c:tx>
        <c:strRef>
          <c:f>'Condition A'!$A$206</c:f>
          <c:strCache>
            <c:ptCount val="1"/>
            <c:pt idx="0">
              <c:v>Amount of time you get to eat your meal?</c:v>
            </c:pt>
          </c:strCache>
        </c:strRef>
      </c:tx>
    </c:title>
    <c:plotArea>
      <c:layout/>
      <c:barChart>
        <c:barDir val="col"/>
        <c:grouping val="clustered"/>
        <c:ser>
          <c:idx val="0"/>
          <c:order val="0"/>
          <c:dLbls>
            <c:showVal val="1"/>
          </c:dLbls>
          <c:cat>
            <c:strRef>
              <c:f>'Condition A'!$A$208:$A$216</c:f>
              <c:strCache>
                <c:ptCount val="9"/>
                <c:pt idx="0">
                  <c:v>Happy</c:v>
                </c:pt>
                <c:pt idx="1">
                  <c:v>Neutral</c:v>
                </c:pt>
                <c:pt idx="2">
                  <c:v>Unhappy</c:v>
                </c:pt>
                <c:pt idx="3">
                  <c:v>.</c:v>
                </c:pt>
                <c:pt idx="4">
                  <c:v>.</c:v>
                </c:pt>
                <c:pt idx="5">
                  <c:v>.</c:v>
                </c:pt>
                <c:pt idx="6">
                  <c:v>.</c:v>
                </c:pt>
                <c:pt idx="7">
                  <c:v>.</c:v>
                </c:pt>
                <c:pt idx="8">
                  <c:v>.</c:v>
                </c:pt>
              </c:strCache>
            </c:strRef>
          </c:cat>
          <c:val>
            <c:numRef>
              <c:f>'Condition A'!$D$208:$D$216</c:f>
              <c:numCache>
                <c:formatCode>0.0</c:formatCode>
                <c:ptCount val="9"/>
                <c:pt idx="0">
                  <c:v>0</c:v>
                </c:pt>
                <c:pt idx="1">
                  <c:v>0</c:v>
                </c:pt>
                <c:pt idx="2">
                  <c:v>0</c:v>
                </c:pt>
                <c:pt idx="3">
                  <c:v>0</c:v>
                </c:pt>
                <c:pt idx="4">
                  <c:v>0</c:v>
                </c:pt>
                <c:pt idx="5">
                  <c:v>0</c:v>
                </c:pt>
                <c:pt idx="6">
                  <c:v>0</c:v>
                </c:pt>
                <c:pt idx="7">
                  <c:v>0</c:v>
                </c:pt>
                <c:pt idx="8">
                  <c:v>0</c:v>
                </c:pt>
              </c:numCache>
            </c:numRef>
          </c:val>
        </c:ser>
        <c:axId val="84489344"/>
        <c:axId val="84490880"/>
      </c:barChart>
      <c:catAx>
        <c:axId val="84489344"/>
        <c:scaling>
          <c:orientation val="minMax"/>
        </c:scaling>
        <c:axPos val="b"/>
        <c:numFmt formatCode="General" sourceLinked="1"/>
        <c:majorTickMark val="none"/>
        <c:tickLblPos val="nextTo"/>
        <c:crossAx val="84490880"/>
        <c:crosses val="autoZero"/>
        <c:auto val="1"/>
        <c:lblAlgn val="ctr"/>
        <c:lblOffset val="100"/>
      </c:catAx>
      <c:valAx>
        <c:axId val="84490880"/>
        <c:scaling>
          <c:orientation val="minMax"/>
          <c:max val="100"/>
        </c:scaling>
        <c:axPos val="l"/>
        <c:majorGridlines/>
        <c:numFmt formatCode="0.0" sourceLinked="1"/>
        <c:majorTickMark val="none"/>
        <c:tickLblPos val="nextTo"/>
        <c:crossAx val="84489344"/>
        <c:crosses val="autoZero"/>
        <c:crossBetween val="between"/>
      </c:valAx>
    </c:plotArea>
    <c:plotVisOnly val="1"/>
    <c:dispBlanksAs val="gap"/>
  </c:chart>
  <c:printSettings>
    <c:headerFooter/>
    <c:pageMargins b="0.75000000000000733" l="0.70000000000000062" r="0.70000000000000062" t="0.75000000000000733"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IE"/>
  <c:chart>
    <c:title>
      <c:tx>
        <c:strRef>
          <c:f>'Condition A'!$A$221</c:f>
          <c:strCache>
            <c:ptCount val="1"/>
            <c:pt idx="0">
              <c:v>Access to drinks and snacks outside of mealtimes?</c:v>
            </c:pt>
          </c:strCache>
        </c:strRef>
      </c:tx>
    </c:title>
    <c:plotArea>
      <c:layout/>
      <c:barChart>
        <c:barDir val="col"/>
        <c:grouping val="clustered"/>
        <c:ser>
          <c:idx val="0"/>
          <c:order val="0"/>
          <c:dLbls>
            <c:showVal val="1"/>
          </c:dLbls>
          <c:cat>
            <c:strRef>
              <c:f>'Condition A'!$A$223:$A$231</c:f>
              <c:strCache>
                <c:ptCount val="9"/>
                <c:pt idx="0">
                  <c:v>Happy</c:v>
                </c:pt>
                <c:pt idx="1">
                  <c:v>Neutral</c:v>
                </c:pt>
                <c:pt idx="2">
                  <c:v>Unhappy</c:v>
                </c:pt>
                <c:pt idx="3">
                  <c:v>.</c:v>
                </c:pt>
                <c:pt idx="4">
                  <c:v>.</c:v>
                </c:pt>
                <c:pt idx="5">
                  <c:v>.</c:v>
                </c:pt>
                <c:pt idx="6">
                  <c:v>.</c:v>
                </c:pt>
                <c:pt idx="7">
                  <c:v>.</c:v>
                </c:pt>
                <c:pt idx="8">
                  <c:v>.</c:v>
                </c:pt>
              </c:strCache>
            </c:strRef>
          </c:cat>
          <c:val>
            <c:numRef>
              <c:f>'Condition A'!$D$223:$D$231</c:f>
              <c:numCache>
                <c:formatCode>0.0</c:formatCode>
                <c:ptCount val="9"/>
                <c:pt idx="0">
                  <c:v>0</c:v>
                </c:pt>
                <c:pt idx="1">
                  <c:v>0</c:v>
                </c:pt>
                <c:pt idx="2">
                  <c:v>0</c:v>
                </c:pt>
                <c:pt idx="3">
                  <c:v>0</c:v>
                </c:pt>
                <c:pt idx="4">
                  <c:v>0</c:v>
                </c:pt>
                <c:pt idx="5">
                  <c:v>0</c:v>
                </c:pt>
                <c:pt idx="6">
                  <c:v>0</c:v>
                </c:pt>
                <c:pt idx="7">
                  <c:v>0</c:v>
                </c:pt>
                <c:pt idx="8">
                  <c:v>0</c:v>
                </c:pt>
              </c:numCache>
            </c:numRef>
          </c:val>
        </c:ser>
        <c:axId val="84510976"/>
        <c:axId val="84525056"/>
      </c:barChart>
      <c:catAx>
        <c:axId val="84510976"/>
        <c:scaling>
          <c:orientation val="minMax"/>
        </c:scaling>
        <c:axPos val="b"/>
        <c:numFmt formatCode="General" sourceLinked="1"/>
        <c:majorTickMark val="none"/>
        <c:tickLblPos val="nextTo"/>
        <c:crossAx val="84525056"/>
        <c:crosses val="autoZero"/>
        <c:auto val="1"/>
        <c:lblAlgn val="ctr"/>
        <c:lblOffset val="100"/>
      </c:catAx>
      <c:valAx>
        <c:axId val="84525056"/>
        <c:scaling>
          <c:orientation val="minMax"/>
          <c:max val="100"/>
        </c:scaling>
        <c:axPos val="l"/>
        <c:majorGridlines/>
        <c:numFmt formatCode="0.0" sourceLinked="1"/>
        <c:majorTickMark val="none"/>
        <c:tickLblPos val="nextTo"/>
        <c:crossAx val="84510976"/>
        <c:crosses val="autoZero"/>
        <c:crossBetween val="between"/>
      </c:valAx>
    </c:plotArea>
    <c:plotVisOnly val="1"/>
    <c:dispBlanksAs val="gap"/>
  </c:chart>
  <c:printSettings>
    <c:headerFooter/>
    <c:pageMargins b="0.75000000000000755" l="0.70000000000000062" r="0.70000000000000062" t="0.75000000000000755"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IE"/>
  <c:chart>
    <c:title>
      <c:tx>
        <c:strRef>
          <c:f>'Condition A'!$A$236</c:f>
          <c:strCache>
            <c:ptCount val="1"/>
            <c:pt idx="0">
              <c:v>Arrangements for grocery shopping?</c:v>
            </c:pt>
          </c:strCache>
        </c:strRef>
      </c:tx>
    </c:title>
    <c:plotArea>
      <c:layout/>
      <c:barChart>
        <c:barDir val="col"/>
        <c:grouping val="clustered"/>
        <c:ser>
          <c:idx val="0"/>
          <c:order val="0"/>
          <c:dLbls>
            <c:showVal val="1"/>
          </c:dLbls>
          <c:cat>
            <c:strRef>
              <c:f>'Condition A'!$A$238:$A$246</c:f>
              <c:strCache>
                <c:ptCount val="9"/>
                <c:pt idx="0">
                  <c:v>Happy</c:v>
                </c:pt>
                <c:pt idx="1">
                  <c:v>Neutral</c:v>
                </c:pt>
                <c:pt idx="2">
                  <c:v>Unhappy</c:v>
                </c:pt>
                <c:pt idx="3">
                  <c:v>.</c:v>
                </c:pt>
                <c:pt idx="4">
                  <c:v>.</c:v>
                </c:pt>
                <c:pt idx="5">
                  <c:v>.</c:v>
                </c:pt>
                <c:pt idx="6">
                  <c:v>.</c:v>
                </c:pt>
                <c:pt idx="7">
                  <c:v>.</c:v>
                </c:pt>
                <c:pt idx="8">
                  <c:v>.</c:v>
                </c:pt>
              </c:strCache>
            </c:strRef>
          </c:cat>
          <c:val>
            <c:numRef>
              <c:f>'Condition A'!$D$238:$D$246</c:f>
              <c:numCache>
                <c:formatCode>0.0</c:formatCode>
                <c:ptCount val="9"/>
                <c:pt idx="0">
                  <c:v>0</c:v>
                </c:pt>
                <c:pt idx="1">
                  <c:v>0</c:v>
                </c:pt>
                <c:pt idx="2">
                  <c:v>0</c:v>
                </c:pt>
                <c:pt idx="3">
                  <c:v>0</c:v>
                </c:pt>
                <c:pt idx="4">
                  <c:v>0</c:v>
                </c:pt>
                <c:pt idx="5">
                  <c:v>0</c:v>
                </c:pt>
                <c:pt idx="6">
                  <c:v>0</c:v>
                </c:pt>
                <c:pt idx="7">
                  <c:v>0</c:v>
                </c:pt>
                <c:pt idx="8">
                  <c:v>0</c:v>
                </c:pt>
              </c:numCache>
            </c:numRef>
          </c:val>
        </c:ser>
        <c:axId val="85921152"/>
        <c:axId val="85935232"/>
      </c:barChart>
      <c:catAx>
        <c:axId val="85921152"/>
        <c:scaling>
          <c:orientation val="minMax"/>
        </c:scaling>
        <c:axPos val="b"/>
        <c:numFmt formatCode="General" sourceLinked="1"/>
        <c:majorTickMark val="none"/>
        <c:tickLblPos val="nextTo"/>
        <c:crossAx val="85935232"/>
        <c:crosses val="autoZero"/>
        <c:auto val="1"/>
        <c:lblAlgn val="ctr"/>
        <c:lblOffset val="100"/>
      </c:catAx>
      <c:valAx>
        <c:axId val="85935232"/>
        <c:scaling>
          <c:orientation val="minMax"/>
          <c:max val="100"/>
        </c:scaling>
        <c:axPos val="l"/>
        <c:majorGridlines/>
        <c:numFmt formatCode="0.0" sourceLinked="1"/>
        <c:majorTickMark val="none"/>
        <c:tickLblPos val="nextTo"/>
        <c:crossAx val="85921152"/>
        <c:crosses val="autoZero"/>
        <c:crossBetween val="between"/>
      </c:valAx>
    </c:plotArea>
    <c:plotVisOnly val="1"/>
    <c:dispBlanksAs val="gap"/>
  </c:chart>
  <c:printSettings>
    <c:headerFooter/>
    <c:pageMargins b="0.75000000000000777" l="0.70000000000000062" r="0.70000000000000062" t="0.75000000000000777"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IE"/>
  <c:chart>
    <c:title>
      <c:tx>
        <c:strRef>
          <c:f>'Condition A'!$A$251</c:f>
          <c:strCache>
            <c:ptCount val="1"/>
            <c:pt idx="0">
              <c:v>Cooking and dining facilities available?</c:v>
            </c:pt>
          </c:strCache>
        </c:strRef>
      </c:tx>
    </c:title>
    <c:plotArea>
      <c:layout/>
      <c:barChart>
        <c:barDir val="col"/>
        <c:grouping val="clustered"/>
        <c:ser>
          <c:idx val="0"/>
          <c:order val="0"/>
          <c:dLbls>
            <c:showVal val="1"/>
          </c:dLbls>
          <c:cat>
            <c:strRef>
              <c:f>'Condition A'!$A$253:$A$261</c:f>
              <c:strCache>
                <c:ptCount val="9"/>
                <c:pt idx="0">
                  <c:v>Happy</c:v>
                </c:pt>
                <c:pt idx="1">
                  <c:v>Neutral</c:v>
                </c:pt>
                <c:pt idx="2">
                  <c:v>Unhappy</c:v>
                </c:pt>
                <c:pt idx="3">
                  <c:v>.</c:v>
                </c:pt>
                <c:pt idx="4">
                  <c:v>.</c:v>
                </c:pt>
                <c:pt idx="5">
                  <c:v>.</c:v>
                </c:pt>
                <c:pt idx="6">
                  <c:v>.</c:v>
                </c:pt>
                <c:pt idx="7">
                  <c:v>.</c:v>
                </c:pt>
                <c:pt idx="8">
                  <c:v>.</c:v>
                </c:pt>
              </c:strCache>
            </c:strRef>
          </c:cat>
          <c:val>
            <c:numRef>
              <c:f>'Condition A'!$D$253:$D$261</c:f>
              <c:numCache>
                <c:formatCode>0.0</c:formatCode>
                <c:ptCount val="9"/>
                <c:pt idx="0">
                  <c:v>0</c:v>
                </c:pt>
                <c:pt idx="1">
                  <c:v>0</c:v>
                </c:pt>
                <c:pt idx="2">
                  <c:v>0</c:v>
                </c:pt>
                <c:pt idx="3">
                  <c:v>0</c:v>
                </c:pt>
                <c:pt idx="4">
                  <c:v>0</c:v>
                </c:pt>
                <c:pt idx="5">
                  <c:v>0</c:v>
                </c:pt>
                <c:pt idx="6">
                  <c:v>0</c:v>
                </c:pt>
                <c:pt idx="7">
                  <c:v>0</c:v>
                </c:pt>
                <c:pt idx="8">
                  <c:v>0</c:v>
                </c:pt>
              </c:numCache>
            </c:numRef>
          </c:val>
        </c:ser>
        <c:axId val="85979904"/>
        <c:axId val="85981440"/>
      </c:barChart>
      <c:catAx>
        <c:axId val="85979904"/>
        <c:scaling>
          <c:orientation val="minMax"/>
        </c:scaling>
        <c:axPos val="b"/>
        <c:numFmt formatCode="General" sourceLinked="1"/>
        <c:majorTickMark val="none"/>
        <c:tickLblPos val="nextTo"/>
        <c:crossAx val="85981440"/>
        <c:crosses val="autoZero"/>
        <c:auto val="1"/>
        <c:lblAlgn val="ctr"/>
        <c:lblOffset val="100"/>
      </c:catAx>
      <c:valAx>
        <c:axId val="85981440"/>
        <c:scaling>
          <c:orientation val="minMax"/>
          <c:max val="100"/>
        </c:scaling>
        <c:axPos val="l"/>
        <c:majorGridlines/>
        <c:numFmt formatCode="0.0" sourceLinked="1"/>
        <c:majorTickMark val="none"/>
        <c:tickLblPos val="nextTo"/>
        <c:crossAx val="85979904"/>
        <c:crosses val="autoZero"/>
        <c:crossBetween val="between"/>
      </c:valAx>
    </c:plotArea>
    <c:plotVisOnly val="1"/>
    <c:dispBlanksAs val="gap"/>
  </c:chart>
  <c:printSettings>
    <c:headerFooter/>
    <c:pageMargins b="0.75000000000000799" l="0.70000000000000062" r="0.70000000000000062" t="0.75000000000000799"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IE"/>
  <c:chart>
    <c:title>
      <c:tx>
        <c:strRef>
          <c:f>'Condition A'!$A$266</c:f>
          <c:strCache>
            <c:ptCount val="1"/>
            <c:pt idx="0">
              <c:v>The arrangements for visitors?</c:v>
            </c:pt>
          </c:strCache>
        </c:strRef>
      </c:tx>
    </c:title>
    <c:plotArea>
      <c:layout/>
      <c:barChart>
        <c:barDir val="col"/>
        <c:grouping val="clustered"/>
        <c:ser>
          <c:idx val="0"/>
          <c:order val="0"/>
          <c:dLbls>
            <c:showVal val="1"/>
          </c:dLbls>
          <c:cat>
            <c:strRef>
              <c:f>'Condition A'!$A$268:$A$276</c:f>
              <c:strCache>
                <c:ptCount val="9"/>
                <c:pt idx="0">
                  <c:v>Happy</c:v>
                </c:pt>
                <c:pt idx="1">
                  <c:v>Neutral</c:v>
                </c:pt>
                <c:pt idx="2">
                  <c:v>Unhappy</c:v>
                </c:pt>
                <c:pt idx="3">
                  <c:v>.</c:v>
                </c:pt>
                <c:pt idx="4">
                  <c:v>.</c:v>
                </c:pt>
                <c:pt idx="5">
                  <c:v>.</c:v>
                </c:pt>
                <c:pt idx="6">
                  <c:v>.</c:v>
                </c:pt>
                <c:pt idx="7">
                  <c:v>.</c:v>
                </c:pt>
                <c:pt idx="8">
                  <c:v>.</c:v>
                </c:pt>
              </c:strCache>
            </c:strRef>
          </c:cat>
          <c:val>
            <c:numRef>
              <c:f>'Condition A'!$D$268:$D$276</c:f>
              <c:numCache>
                <c:formatCode>0.0</c:formatCode>
                <c:ptCount val="9"/>
                <c:pt idx="0">
                  <c:v>0</c:v>
                </c:pt>
                <c:pt idx="1">
                  <c:v>0</c:v>
                </c:pt>
                <c:pt idx="2">
                  <c:v>0</c:v>
                </c:pt>
                <c:pt idx="3">
                  <c:v>0</c:v>
                </c:pt>
                <c:pt idx="4">
                  <c:v>0</c:v>
                </c:pt>
                <c:pt idx="5">
                  <c:v>0</c:v>
                </c:pt>
                <c:pt idx="6">
                  <c:v>0</c:v>
                </c:pt>
                <c:pt idx="7">
                  <c:v>0</c:v>
                </c:pt>
                <c:pt idx="8">
                  <c:v>0</c:v>
                </c:pt>
              </c:numCache>
            </c:numRef>
          </c:val>
        </c:ser>
        <c:axId val="85997440"/>
        <c:axId val="85998976"/>
      </c:barChart>
      <c:catAx>
        <c:axId val="85997440"/>
        <c:scaling>
          <c:orientation val="minMax"/>
        </c:scaling>
        <c:axPos val="b"/>
        <c:numFmt formatCode="General" sourceLinked="1"/>
        <c:majorTickMark val="none"/>
        <c:tickLblPos val="nextTo"/>
        <c:crossAx val="85998976"/>
        <c:crosses val="autoZero"/>
        <c:auto val="1"/>
        <c:lblAlgn val="ctr"/>
        <c:lblOffset val="100"/>
      </c:catAx>
      <c:valAx>
        <c:axId val="85998976"/>
        <c:scaling>
          <c:orientation val="minMax"/>
          <c:max val="100"/>
        </c:scaling>
        <c:axPos val="l"/>
        <c:majorGridlines/>
        <c:numFmt formatCode="0.0" sourceLinked="1"/>
        <c:majorTickMark val="none"/>
        <c:tickLblPos val="nextTo"/>
        <c:crossAx val="85997440"/>
        <c:crosses val="autoZero"/>
        <c:crossBetween val="between"/>
      </c:valAx>
    </c:plotArea>
    <c:plotVisOnly val="1"/>
    <c:dispBlanksAs val="gap"/>
  </c:chart>
  <c:printSettings>
    <c:headerFooter/>
    <c:pageMargins b="0.75000000000000822" l="0.70000000000000062" r="0.70000000000000062" t="0.75000000000000822"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IE"/>
  <c:chart>
    <c:title>
      <c:tx>
        <c:strRef>
          <c:f>'Condition A'!$A$281</c:f>
          <c:strCache>
            <c:ptCount val="1"/>
            <c:pt idx="0">
              <c:v>The welcome your visitors get from staff?</c:v>
            </c:pt>
          </c:strCache>
        </c:strRef>
      </c:tx>
    </c:title>
    <c:plotArea>
      <c:layout/>
      <c:barChart>
        <c:barDir val="col"/>
        <c:grouping val="clustered"/>
        <c:ser>
          <c:idx val="0"/>
          <c:order val="0"/>
          <c:dLbls>
            <c:showVal val="1"/>
          </c:dLbls>
          <c:cat>
            <c:strRef>
              <c:f>'Condition A'!$A$283:$A$291</c:f>
              <c:strCache>
                <c:ptCount val="9"/>
                <c:pt idx="0">
                  <c:v>Happy</c:v>
                </c:pt>
                <c:pt idx="1">
                  <c:v>Neutral</c:v>
                </c:pt>
                <c:pt idx="2">
                  <c:v>Unhappy</c:v>
                </c:pt>
                <c:pt idx="3">
                  <c:v>.</c:v>
                </c:pt>
                <c:pt idx="4">
                  <c:v>.</c:v>
                </c:pt>
                <c:pt idx="5">
                  <c:v>.</c:v>
                </c:pt>
                <c:pt idx="6">
                  <c:v>.</c:v>
                </c:pt>
                <c:pt idx="7">
                  <c:v>.</c:v>
                </c:pt>
                <c:pt idx="8">
                  <c:v>.</c:v>
                </c:pt>
              </c:strCache>
            </c:strRef>
          </c:cat>
          <c:val>
            <c:numRef>
              <c:f>'Condition A'!$D$283:$D$291</c:f>
              <c:numCache>
                <c:formatCode>0.0</c:formatCode>
                <c:ptCount val="9"/>
                <c:pt idx="0">
                  <c:v>0</c:v>
                </c:pt>
                <c:pt idx="1">
                  <c:v>0</c:v>
                </c:pt>
                <c:pt idx="2">
                  <c:v>0</c:v>
                </c:pt>
                <c:pt idx="3">
                  <c:v>0</c:v>
                </c:pt>
                <c:pt idx="4">
                  <c:v>0</c:v>
                </c:pt>
                <c:pt idx="5">
                  <c:v>0</c:v>
                </c:pt>
                <c:pt idx="6">
                  <c:v>0</c:v>
                </c:pt>
                <c:pt idx="7">
                  <c:v>0</c:v>
                </c:pt>
                <c:pt idx="8">
                  <c:v>0</c:v>
                </c:pt>
              </c:numCache>
            </c:numRef>
          </c:val>
        </c:ser>
        <c:axId val="86039552"/>
        <c:axId val="86045440"/>
      </c:barChart>
      <c:catAx>
        <c:axId val="86039552"/>
        <c:scaling>
          <c:orientation val="minMax"/>
        </c:scaling>
        <c:axPos val="b"/>
        <c:numFmt formatCode="General" sourceLinked="1"/>
        <c:majorTickMark val="none"/>
        <c:tickLblPos val="nextTo"/>
        <c:crossAx val="86045440"/>
        <c:crosses val="autoZero"/>
        <c:auto val="1"/>
        <c:lblAlgn val="ctr"/>
        <c:lblOffset val="100"/>
      </c:catAx>
      <c:valAx>
        <c:axId val="86045440"/>
        <c:scaling>
          <c:orientation val="minMax"/>
          <c:max val="100"/>
        </c:scaling>
        <c:axPos val="l"/>
        <c:majorGridlines/>
        <c:numFmt formatCode="0.0" sourceLinked="1"/>
        <c:majorTickMark val="none"/>
        <c:tickLblPos val="nextTo"/>
        <c:crossAx val="86039552"/>
        <c:crosses val="autoZero"/>
        <c:crossBetween val="between"/>
      </c:valAx>
    </c:plotArea>
    <c:plotVisOnly val="1"/>
    <c:dispBlanksAs val="gap"/>
  </c:chart>
  <c:printSettings>
    <c:headerFooter/>
    <c:pageMargins b="0.75000000000000844" l="0.70000000000000062" r="0.70000000000000062" t="0.750000000000008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E"/>
  <c:chart>
    <c:title>
      <c:tx>
        <c:strRef>
          <c:f>OverallResults!$A$74</c:f>
          <c:strCache>
            <c:ptCount val="1"/>
            <c:pt idx="0">
              <c:v>Your laundry facilities?</c:v>
            </c:pt>
          </c:strCache>
        </c:strRef>
      </c:tx>
    </c:title>
    <c:plotArea>
      <c:layout/>
      <c:barChart>
        <c:barDir val="col"/>
        <c:grouping val="clustered"/>
        <c:ser>
          <c:idx val="0"/>
          <c:order val="0"/>
          <c:dLbls>
            <c:showVal val="1"/>
          </c:dLbls>
          <c:cat>
            <c:strRef>
              <c:f>OverallResults!$A$76:$A$78</c:f>
              <c:strCache>
                <c:ptCount val="3"/>
                <c:pt idx="0">
                  <c:v>Happy</c:v>
                </c:pt>
                <c:pt idx="1">
                  <c:v>Neutral</c:v>
                </c:pt>
                <c:pt idx="2">
                  <c:v>Unhappy</c:v>
                </c:pt>
              </c:strCache>
            </c:strRef>
          </c:cat>
          <c:val>
            <c:numRef>
              <c:f>OverallResults!$D$76:$D$78</c:f>
              <c:numCache>
                <c:formatCode>0.0</c:formatCode>
                <c:ptCount val="3"/>
                <c:pt idx="0">
                  <c:v>0</c:v>
                </c:pt>
                <c:pt idx="1">
                  <c:v>0</c:v>
                </c:pt>
                <c:pt idx="2">
                  <c:v>0</c:v>
                </c:pt>
              </c:numCache>
            </c:numRef>
          </c:val>
        </c:ser>
        <c:axId val="73840128"/>
        <c:axId val="73841664"/>
      </c:barChart>
      <c:catAx>
        <c:axId val="73840128"/>
        <c:scaling>
          <c:orientation val="minMax"/>
        </c:scaling>
        <c:axPos val="b"/>
        <c:numFmt formatCode="General" sourceLinked="1"/>
        <c:majorTickMark val="none"/>
        <c:tickLblPos val="nextTo"/>
        <c:crossAx val="73841664"/>
        <c:crosses val="autoZero"/>
        <c:auto val="1"/>
        <c:lblAlgn val="ctr"/>
        <c:lblOffset val="100"/>
      </c:catAx>
      <c:valAx>
        <c:axId val="73841664"/>
        <c:scaling>
          <c:orientation val="minMax"/>
          <c:max val="100"/>
        </c:scaling>
        <c:axPos val="l"/>
        <c:majorGridlines/>
        <c:numFmt formatCode="0.0" sourceLinked="1"/>
        <c:majorTickMark val="none"/>
        <c:tickLblPos val="nextTo"/>
        <c:crossAx val="73840128"/>
        <c:crosses val="autoZero"/>
        <c:crossBetween val="between"/>
      </c:valAx>
    </c:plotArea>
    <c:plotVisOnly val="1"/>
    <c:dispBlanksAs val="gap"/>
  </c:chart>
  <c:printSettings>
    <c:headerFooter/>
    <c:pageMargins b="0.75000000000000555" l="0.70000000000000062" r="0.70000000000000062" t="0.75000000000000555" header="0.30000000000000032" footer="0.30000000000000032"/>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IE"/>
  <c:chart>
    <c:title>
      <c:tx>
        <c:strRef>
          <c:f>'Condition A'!$A$296</c:f>
          <c:strCache>
            <c:ptCount val="1"/>
            <c:pt idx="0">
              <c:v>What time to get up?</c:v>
            </c:pt>
          </c:strCache>
        </c:strRef>
      </c:tx>
    </c:title>
    <c:plotArea>
      <c:layout/>
      <c:barChart>
        <c:barDir val="col"/>
        <c:grouping val="clustered"/>
        <c:ser>
          <c:idx val="0"/>
          <c:order val="0"/>
          <c:dLbls>
            <c:showVal val="1"/>
          </c:dLbls>
          <c:cat>
            <c:strRef>
              <c:f>'Condition A'!$A$298:$A$306</c:f>
              <c:strCache>
                <c:ptCount val="9"/>
                <c:pt idx="0">
                  <c:v>Happy</c:v>
                </c:pt>
                <c:pt idx="1">
                  <c:v>Neutral</c:v>
                </c:pt>
                <c:pt idx="2">
                  <c:v>Unhappy</c:v>
                </c:pt>
                <c:pt idx="3">
                  <c:v>.</c:v>
                </c:pt>
                <c:pt idx="4">
                  <c:v>.</c:v>
                </c:pt>
                <c:pt idx="5">
                  <c:v>.</c:v>
                </c:pt>
                <c:pt idx="6">
                  <c:v>.</c:v>
                </c:pt>
                <c:pt idx="7">
                  <c:v>.</c:v>
                </c:pt>
                <c:pt idx="8">
                  <c:v>.</c:v>
                </c:pt>
              </c:strCache>
            </c:strRef>
          </c:cat>
          <c:val>
            <c:numRef>
              <c:f>'Condition A'!$D$298:$D$306</c:f>
              <c:numCache>
                <c:formatCode>0.0</c:formatCode>
                <c:ptCount val="9"/>
                <c:pt idx="0">
                  <c:v>0</c:v>
                </c:pt>
                <c:pt idx="1">
                  <c:v>0</c:v>
                </c:pt>
                <c:pt idx="2">
                  <c:v>0</c:v>
                </c:pt>
                <c:pt idx="3">
                  <c:v>0</c:v>
                </c:pt>
                <c:pt idx="4">
                  <c:v>0</c:v>
                </c:pt>
                <c:pt idx="5">
                  <c:v>0</c:v>
                </c:pt>
                <c:pt idx="6">
                  <c:v>0</c:v>
                </c:pt>
                <c:pt idx="7">
                  <c:v>0</c:v>
                </c:pt>
                <c:pt idx="8">
                  <c:v>0</c:v>
                </c:pt>
              </c:numCache>
            </c:numRef>
          </c:val>
        </c:ser>
        <c:axId val="86087552"/>
        <c:axId val="86089088"/>
      </c:barChart>
      <c:catAx>
        <c:axId val="86087552"/>
        <c:scaling>
          <c:orientation val="minMax"/>
        </c:scaling>
        <c:axPos val="b"/>
        <c:numFmt formatCode="General" sourceLinked="1"/>
        <c:majorTickMark val="none"/>
        <c:tickLblPos val="nextTo"/>
        <c:txPr>
          <a:bodyPr/>
          <a:lstStyle/>
          <a:p>
            <a:pPr>
              <a:defRPr sz="800"/>
            </a:pPr>
            <a:endParaRPr lang="en-US"/>
          </a:p>
        </c:txPr>
        <c:crossAx val="86089088"/>
        <c:crosses val="autoZero"/>
        <c:auto val="1"/>
        <c:lblAlgn val="ctr"/>
        <c:lblOffset val="100"/>
      </c:catAx>
      <c:valAx>
        <c:axId val="86089088"/>
        <c:scaling>
          <c:orientation val="minMax"/>
          <c:max val="100"/>
        </c:scaling>
        <c:axPos val="l"/>
        <c:majorGridlines/>
        <c:numFmt formatCode="0.0" sourceLinked="1"/>
        <c:majorTickMark val="none"/>
        <c:tickLblPos val="nextTo"/>
        <c:crossAx val="86087552"/>
        <c:crosses val="autoZero"/>
        <c:crossBetween val="between"/>
      </c:valAx>
    </c:plotArea>
    <c:plotVisOnly val="1"/>
    <c:dispBlanksAs val="gap"/>
  </c:chart>
  <c:printSettings>
    <c:headerFooter/>
    <c:pageMargins b="0.75000000000000866" l="0.70000000000000062" r="0.70000000000000062" t="0.75000000000000866"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IE"/>
  <c:chart>
    <c:title>
      <c:tx>
        <c:strRef>
          <c:f>'Condition A'!$A$311</c:f>
          <c:strCache>
            <c:ptCount val="1"/>
            <c:pt idx="0">
              <c:v>When you go to bed?</c:v>
            </c:pt>
          </c:strCache>
        </c:strRef>
      </c:tx>
    </c:title>
    <c:plotArea>
      <c:layout/>
      <c:barChart>
        <c:barDir val="col"/>
        <c:grouping val="clustered"/>
        <c:ser>
          <c:idx val="0"/>
          <c:order val="0"/>
          <c:dLbls>
            <c:showVal val="1"/>
          </c:dLbls>
          <c:cat>
            <c:strRef>
              <c:f>'Condition A'!$A$313:$A$321</c:f>
              <c:strCache>
                <c:ptCount val="9"/>
                <c:pt idx="0">
                  <c:v>Happy</c:v>
                </c:pt>
                <c:pt idx="1">
                  <c:v>Neutral</c:v>
                </c:pt>
                <c:pt idx="2">
                  <c:v>Unhappy</c:v>
                </c:pt>
                <c:pt idx="3">
                  <c:v>.</c:v>
                </c:pt>
                <c:pt idx="4">
                  <c:v>.</c:v>
                </c:pt>
                <c:pt idx="5">
                  <c:v>.</c:v>
                </c:pt>
                <c:pt idx="6">
                  <c:v>.</c:v>
                </c:pt>
                <c:pt idx="7">
                  <c:v>.</c:v>
                </c:pt>
                <c:pt idx="8">
                  <c:v>.</c:v>
                </c:pt>
              </c:strCache>
            </c:strRef>
          </c:cat>
          <c:val>
            <c:numRef>
              <c:f>'Condition A'!$D$313:$D$321</c:f>
              <c:numCache>
                <c:formatCode>0.0</c:formatCode>
                <c:ptCount val="9"/>
                <c:pt idx="0">
                  <c:v>0</c:v>
                </c:pt>
                <c:pt idx="1">
                  <c:v>0</c:v>
                </c:pt>
                <c:pt idx="2">
                  <c:v>0</c:v>
                </c:pt>
                <c:pt idx="3">
                  <c:v>0</c:v>
                </c:pt>
                <c:pt idx="4">
                  <c:v>0</c:v>
                </c:pt>
                <c:pt idx="5">
                  <c:v>0</c:v>
                </c:pt>
                <c:pt idx="6">
                  <c:v>0</c:v>
                </c:pt>
                <c:pt idx="7">
                  <c:v>0</c:v>
                </c:pt>
                <c:pt idx="8">
                  <c:v>0</c:v>
                </c:pt>
              </c:numCache>
            </c:numRef>
          </c:val>
        </c:ser>
        <c:axId val="86189952"/>
        <c:axId val="86191488"/>
      </c:barChart>
      <c:catAx>
        <c:axId val="86189952"/>
        <c:scaling>
          <c:orientation val="minMax"/>
        </c:scaling>
        <c:axPos val="b"/>
        <c:numFmt formatCode="General" sourceLinked="1"/>
        <c:majorTickMark val="none"/>
        <c:tickLblPos val="nextTo"/>
        <c:crossAx val="86191488"/>
        <c:crosses val="autoZero"/>
        <c:auto val="1"/>
        <c:lblAlgn val="ctr"/>
        <c:lblOffset val="100"/>
      </c:catAx>
      <c:valAx>
        <c:axId val="86191488"/>
        <c:scaling>
          <c:orientation val="minMax"/>
          <c:max val="100"/>
        </c:scaling>
        <c:axPos val="l"/>
        <c:majorGridlines/>
        <c:numFmt formatCode="0.0" sourceLinked="1"/>
        <c:majorTickMark val="none"/>
        <c:tickLblPos val="nextTo"/>
        <c:crossAx val="86189952"/>
        <c:crosses val="autoZero"/>
        <c:crossBetween val="between"/>
      </c:valAx>
    </c:plotArea>
    <c:plotVisOnly val="1"/>
    <c:dispBlanksAs val="gap"/>
  </c:chart>
  <c:printSettings>
    <c:headerFooter/>
    <c:pageMargins b="0.75000000000000866" l="0.70000000000000062" r="0.70000000000000062" t="0.75000000000000866"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IE"/>
  <c:chart>
    <c:title>
      <c:tx>
        <c:strRef>
          <c:f>'Condition A'!$A$326</c:f>
          <c:strCache>
            <c:ptCount val="1"/>
            <c:pt idx="0">
              <c:v>What you eat?</c:v>
            </c:pt>
          </c:strCache>
        </c:strRef>
      </c:tx>
    </c:title>
    <c:plotArea>
      <c:layout/>
      <c:barChart>
        <c:barDir val="col"/>
        <c:grouping val="clustered"/>
        <c:ser>
          <c:idx val="0"/>
          <c:order val="0"/>
          <c:dLbls>
            <c:showVal val="1"/>
          </c:dLbls>
          <c:cat>
            <c:strRef>
              <c:f>'Condition A'!$A$328:$A$336</c:f>
              <c:strCache>
                <c:ptCount val="9"/>
                <c:pt idx="0">
                  <c:v>Happy</c:v>
                </c:pt>
                <c:pt idx="1">
                  <c:v>Neutral</c:v>
                </c:pt>
                <c:pt idx="2">
                  <c:v>Unhappy</c:v>
                </c:pt>
                <c:pt idx="3">
                  <c:v>.</c:v>
                </c:pt>
                <c:pt idx="4">
                  <c:v>.</c:v>
                </c:pt>
                <c:pt idx="5">
                  <c:v>.</c:v>
                </c:pt>
                <c:pt idx="6">
                  <c:v>.</c:v>
                </c:pt>
                <c:pt idx="7">
                  <c:v>.</c:v>
                </c:pt>
                <c:pt idx="8">
                  <c:v>.</c:v>
                </c:pt>
              </c:strCache>
            </c:strRef>
          </c:cat>
          <c:val>
            <c:numRef>
              <c:f>'Condition A'!$D$328:$D$336</c:f>
              <c:numCache>
                <c:formatCode>0.0</c:formatCode>
                <c:ptCount val="9"/>
                <c:pt idx="0">
                  <c:v>0</c:v>
                </c:pt>
                <c:pt idx="1">
                  <c:v>0</c:v>
                </c:pt>
                <c:pt idx="2">
                  <c:v>0</c:v>
                </c:pt>
                <c:pt idx="3">
                  <c:v>0</c:v>
                </c:pt>
                <c:pt idx="4">
                  <c:v>0</c:v>
                </c:pt>
                <c:pt idx="5">
                  <c:v>0</c:v>
                </c:pt>
                <c:pt idx="6">
                  <c:v>0</c:v>
                </c:pt>
                <c:pt idx="7">
                  <c:v>0</c:v>
                </c:pt>
                <c:pt idx="8">
                  <c:v>0</c:v>
                </c:pt>
              </c:numCache>
            </c:numRef>
          </c:val>
        </c:ser>
        <c:axId val="86215680"/>
        <c:axId val="86242048"/>
      </c:barChart>
      <c:catAx>
        <c:axId val="86215680"/>
        <c:scaling>
          <c:orientation val="minMax"/>
        </c:scaling>
        <c:axPos val="b"/>
        <c:numFmt formatCode="General" sourceLinked="1"/>
        <c:majorTickMark val="none"/>
        <c:tickLblPos val="nextTo"/>
        <c:crossAx val="86242048"/>
        <c:crosses val="autoZero"/>
        <c:auto val="1"/>
        <c:lblAlgn val="ctr"/>
        <c:lblOffset val="100"/>
      </c:catAx>
      <c:valAx>
        <c:axId val="86242048"/>
        <c:scaling>
          <c:orientation val="minMax"/>
          <c:max val="100"/>
        </c:scaling>
        <c:axPos val="l"/>
        <c:majorGridlines/>
        <c:numFmt formatCode="0.0" sourceLinked="1"/>
        <c:majorTickMark val="none"/>
        <c:tickLblPos val="nextTo"/>
        <c:crossAx val="86215680"/>
        <c:crosses val="autoZero"/>
        <c:crossBetween val="between"/>
      </c:valAx>
    </c:plotArea>
    <c:plotVisOnly val="1"/>
    <c:dispBlanksAs val="gap"/>
  </c:chart>
  <c:printSettings>
    <c:headerFooter/>
    <c:pageMargins b="0.75000000000000822" l="0.70000000000000062" r="0.70000000000000062" t="0.75000000000000822"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IE"/>
  <c:chart>
    <c:title>
      <c:tx>
        <c:strRef>
          <c:f>'Condition A'!$A$341</c:f>
          <c:strCache>
            <c:ptCount val="1"/>
            <c:pt idx="0">
              <c:v>What you wear?</c:v>
            </c:pt>
          </c:strCache>
        </c:strRef>
      </c:tx>
    </c:title>
    <c:plotArea>
      <c:layout/>
      <c:barChart>
        <c:barDir val="col"/>
        <c:grouping val="clustered"/>
        <c:ser>
          <c:idx val="0"/>
          <c:order val="0"/>
          <c:dLbls>
            <c:showVal val="1"/>
          </c:dLbls>
          <c:cat>
            <c:strRef>
              <c:f>'Condition A'!$A$343:$A$351</c:f>
              <c:strCache>
                <c:ptCount val="9"/>
                <c:pt idx="0">
                  <c:v>Happy</c:v>
                </c:pt>
                <c:pt idx="1">
                  <c:v>Neutral</c:v>
                </c:pt>
                <c:pt idx="2">
                  <c:v>Unhappy</c:v>
                </c:pt>
                <c:pt idx="3">
                  <c:v>.</c:v>
                </c:pt>
                <c:pt idx="4">
                  <c:v>.</c:v>
                </c:pt>
                <c:pt idx="5">
                  <c:v>.</c:v>
                </c:pt>
                <c:pt idx="6">
                  <c:v>.</c:v>
                </c:pt>
                <c:pt idx="7">
                  <c:v>.</c:v>
                </c:pt>
                <c:pt idx="8">
                  <c:v>.</c:v>
                </c:pt>
              </c:strCache>
            </c:strRef>
          </c:cat>
          <c:val>
            <c:numRef>
              <c:f>'Condition A'!$D$343:$D$351</c:f>
              <c:numCache>
                <c:formatCode>0.0</c:formatCode>
                <c:ptCount val="9"/>
                <c:pt idx="0">
                  <c:v>0</c:v>
                </c:pt>
                <c:pt idx="1">
                  <c:v>0</c:v>
                </c:pt>
                <c:pt idx="2">
                  <c:v>0</c:v>
                </c:pt>
                <c:pt idx="3">
                  <c:v>0</c:v>
                </c:pt>
                <c:pt idx="4">
                  <c:v>0</c:v>
                </c:pt>
                <c:pt idx="5">
                  <c:v>0</c:v>
                </c:pt>
                <c:pt idx="6">
                  <c:v>0</c:v>
                </c:pt>
                <c:pt idx="7">
                  <c:v>0</c:v>
                </c:pt>
                <c:pt idx="8">
                  <c:v>0</c:v>
                </c:pt>
              </c:numCache>
            </c:numRef>
          </c:val>
        </c:ser>
        <c:axId val="86131072"/>
        <c:axId val="86132608"/>
      </c:barChart>
      <c:catAx>
        <c:axId val="86131072"/>
        <c:scaling>
          <c:orientation val="minMax"/>
        </c:scaling>
        <c:axPos val="b"/>
        <c:numFmt formatCode="General" sourceLinked="1"/>
        <c:majorTickMark val="none"/>
        <c:tickLblPos val="nextTo"/>
        <c:crossAx val="86132608"/>
        <c:crosses val="autoZero"/>
        <c:auto val="1"/>
        <c:lblAlgn val="ctr"/>
        <c:lblOffset val="100"/>
      </c:catAx>
      <c:valAx>
        <c:axId val="86132608"/>
        <c:scaling>
          <c:orientation val="minMax"/>
          <c:max val="100"/>
        </c:scaling>
        <c:axPos val="l"/>
        <c:majorGridlines/>
        <c:numFmt formatCode="0.0" sourceLinked="1"/>
        <c:majorTickMark val="none"/>
        <c:tickLblPos val="nextTo"/>
        <c:crossAx val="86131072"/>
        <c:crosses val="autoZero"/>
        <c:crossBetween val="between"/>
      </c:valAx>
    </c:plotArea>
    <c:plotVisOnly val="1"/>
    <c:dispBlanksAs val="gap"/>
  </c:chart>
  <c:printSettings>
    <c:headerFooter/>
    <c:pageMargins b="0.75000000000000844" l="0.70000000000000062" r="0.70000000000000062" t="0.75000000000000844"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IE"/>
  <c:chart>
    <c:title>
      <c:tx>
        <c:strRef>
          <c:f>'Condition A'!$A$356</c:f>
          <c:strCache>
            <c:ptCount val="1"/>
            <c:pt idx="0">
              <c:v>The activities you take part in?</c:v>
            </c:pt>
          </c:strCache>
        </c:strRef>
      </c:tx>
    </c:title>
    <c:plotArea>
      <c:layout/>
      <c:barChart>
        <c:barDir val="col"/>
        <c:grouping val="clustered"/>
        <c:ser>
          <c:idx val="0"/>
          <c:order val="0"/>
          <c:dLbls>
            <c:showVal val="1"/>
          </c:dLbls>
          <c:cat>
            <c:strRef>
              <c:f>'Condition A'!$A$358:$A$366</c:f>
              <c:strCache>
                <c:ptCount val="9"/>
                <c:pt idx="0">
                  <c:v>Happy</c:v>
                </c:pt>
                <c:pt idx="1">
                  <c:v>Neutral</c:v>
                </c:pt>
                <c:pt idx="2">
                  <c:v>Unhappy</c:v>
                </c:pt>
                <c:pt idx="3">
                  <c:v>.</c:v>
                </c:pt>
                <c:pt idx="4">
                  <c:v>.</c:v>
                </c:pt>
                <c:pt idx="5">
                  <c:v>.</c:v>
                </c:pt>
                <c:pt idx="6">
                  <c:v>.</c:v>
                </c:pt>
                <c:pt idx="7">
                  <c:v>.</c:v>
                </c:pt>
                <c:pt idx="8">
                  <c:v>.</c:v>
                </c:pt>
              </c:strCache>
            </c:strRef>
          </c:cat>
          <c:val>
            <c:numRef>
              <c:f>'Condition A'!$D$358:$D$366</c:f>
              <c:numCache>
                <c:formatCode>0.0</c:formatCode>
                <c:ptCount val="9"/>
                <c:pt idx="0">
                  <c:v>0</c:v>
                </c:pt>
                <c:pt idx="1">
                  <c:v>0</c:v>
                </c:pt>
                <c:pt idx="2">
                  <c:v>0</c:v>
                </c:pt>
                <c:pt idx="3">
                  <c:v>0</c:v>
                </c:pt>
                <c:pt idx="4">
                  <c:v>0</c:v>
                </c:pt>
                <c:pt idx="5">
                  <c:v>0</c:v>
                </c:pt>
                <c:pt idx="6">
                  <c:v>0</c:v>
                </c:pt>
                <c:pt idx="7">
                  <c:v>0</c:v>
                </c:pt>
                <c:pt idx="8">
                  <c:v>0</c:v>
                </c:pt>
              </c:numCache>
            </c:numRef>
          </c:val>
        </c:ser>
        <c:axId val="86156416"/>
        <c:axId val="86157952"/>
      </c:barChart>
      <c:catAx>
        <c:axId val="86156416"/>
        <c:scaling>
          <c:orientation val="minMax"/>
        </c:scaling>
        <c:axPos val="b"/>
        <c:numFmt formatCode="General" sourceLinked="1"/>
        <c:majorTickMark val="none"/>
        <c:tickLblPos val="nextTo"/>
        <c:crossAx val="86157952"/>
        <c:crosses val="autoZero"/>
        <c:auto val="1"/>
        <c:lblAlgn val="ctr"/>
        <c:lblOffset val="100"/>
      </c:catAx>
      <c:valAx>
        <c:axId val="86157952"/>
        <c:scaling>
          <c:orientation val="minMax"/>
          <c:max val="100"/>
        </c:scaling>
        <c:axPos val="l"/>
        <c:majorGridlines/>
        <c:numFmt formatCode="0.0" sourceLinked="1"/>
        <c:majorTickMark val="none"/>
        <c:tickLblPos val="nextTo"/>
        <c:crossAx val="86156416"/>
        <c:crosses val="autoZero"/>
        <c:crossBetween val="between"/>
      </c:valAx>
    </c:plotArea>
    <c:plotVisOnly val="1"/>
    <c:dispBlanksAs val="gap"/>
  </c:chart>
  <c:printSettings>
    <c:headerFooter/>
    <c:pageMargins b="0.75000000000000866" l="0.70000000000000062" r="0.70000000000000062" t="0.75000000000000866"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IE"/>
  <c:chart>
    <c:title>
      <c:tx>
        <c:strRef>
          <c:f>'Condition A'!$A$371</c:f>
          <c:strCache>
            <c:ptCount val="1"/>
            <c:pt idx="0">
              <c:v>The care and support you receive?</c:v>
            </c:pt>
          </c:strCache>
        </c:strRef>
      </c:tx>
    </c:title>
    <c:plotArea>
      <c:layout/>
      <c:barChart>
        <c:barDir val="col"/>
        <c:grouping val="clustered"/>
        <c:ser>
          <c:idx val="0"/>
          <c:order val="0"/>
          <c:dLbls>
            <c:showVal val="1"/>
          </c:dLbls>
          <c:cat>
            <c:strRef>
              <c:f>'Condition A'!$A$373:$A$381</c:f>
              <c:strCache>
                <c:ptCount val="9"/>
                <c:pt idx="0">
                  <c:v>Happy</c:v>
                </c:pt>
                <c:pt idx="1">
                  <c:v>Neutral</c:v>
                </c:pt>
                <c:pt idx="2">
                  <c:v>Unhappy</c:v>
                </c:pt>
                <c:pt idx="3">
                  <c:v>.</c:v>
                </c:pt>
                <c:pt idx="4">
                  <c:v>.</c:v>
                </c:pt>
                <c:pt idx="5">
                  <c:v>.</c:v>
                </c:pt>
                <c:pt idx="6">
                  <c:v>.</c:v>
                </c:pt>
                <c:pt idx="7">
                  <c:v>.</c:v>
                </c:pt>
                <c:pt idx="8">
                  <c:v>.</c:v>
                </c:pt>
              </c:strCache>
            </c:strRef>
          </c:cat>
          <c:val>
            <c:numRef>
              <c:f>'Condition A'!$D$373:$D$381</c:f>
              <c:numCache>
                <c:formatCode>0.0</c:formatCode>
                <c:ptCount val="9"/>
                <c:pt idx="0">
                  <c:v>0</c:v>
                </c:pt>
                <c:pt idx="1">
                  <c:v>0</c:v>
                </c:pt>
                <c:pt idx="2">
                  <c:v>0</c:v>
                </c:pt>
                <c:pt idx="3">
                  <c:v>0</c:v>
                </c:pt>
                <c:pt idx="4">
                  <c:v>0</c:v>
                </c:pt>
                <c:pt idx="5">
                  <c:v>0</c:v>
                </c:pt>
                <c:pt idx="6">
                  <c:v>0</c:v>
                </c:pt>
                <c:pt idx="7">
                  <c:v>0</c:v>
                </c:pt>
                <c:pt idx="8">
                  <c:v>0</c:v>
                </c:pt>
              </c:numCache>
            </c:numRef>
          </c:val>
        </c:ser>
        <c:axId val="86272256"/>
        <c:axId val="86278144"/>
      </c:barChart>
      <c:catAx>
        <c:axId val="86272256"/>
        <c:scaling>
          <c:orientation val="minMax"/>
        </c:scaling>
        <c:axPos val="b"/>
        <c:numFmt formatCode="General" sourceLinked="1"/>
        <c:majorTickMark val="none"/>
        <c:tickLblPos val="nextTo"/>
        <c:crossAx val="86278144"/>
        <c:crosses val="autoZero"/>
        <c:auto val="1"/>
        <c:lblAlgn val="ctr"/>
        <c:lblOffset val="100"/>
      </c:catAx>
      <c:valAx>
        <c:axId val="86278144"/>
        <c:scaling>
          <c:orientation val="minMax"/>
          <c:max val="100"/>
        </c:scaling>
        <c:axPos val="l"/>
        <c:majorGridlines/>
        <c:numFmt formatCode="0.0" sourceLinked="1"/>
        <c:majorTickMark val="none"/>
        <c:tickLblPos val="nextTo"/>
        <c:crossAx val="86272256"/>
        <c:crosses val="autoZero"/>
        <c:crossBetween val="between"/>
      </c:valAx>
    </c:plotArea>
    <c:plotVisOnly val="1"/>
    <c:dispBlanksAs val="gap"/>
  </c:chart>
  <c:printSettings>
    <c:headerFooter/>
    <c:pageMargins b="0.75000000000000888" l="0.70000000000000062" r="0.70000000000000062" t="0.75000000000000888"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IE"/>
  <c:chart>
    <c:title>
      <c:tx>
        <c:strRef>
          <c:f>'Condition A'!$A$386</c:f>
          <c:strCache>
            <c:ptCount val="1"/>
            <c:pt idx="0">
              <c:v>The amount of privacy you have?</c:v>
            </c:pt>
          </c:strCache>
        </c:strRef>
      </c:tx>
    </c:title>
    <c:plotArea>
      <c:layout/>
      <c:barChart>
        <c:barDir val="col"/>
        <c:grouping val="clustered"/>
        <c:ser>
          <c:idx val="0"/>
          <c:order val="0"/>
          <c:dLbls>
            <c:showVal val="1"/>
          </c:dLbls>
          <c:cat>
            <c:strRef>
              <c:f>'Condition A'!$A$388:$A$396</c:f>
              <c:strCache>
                <c:ptCount val="9"/>
                <c:pt idx="0">
                  <c:v>Happy</c:v>
                </c:pt>
                <c:pt idx="1">
                  <c:v>Neutral</c:v>
                </c:pt>
                <c:pt idx="2">
                  <c:v>Unhappy</c:v>
                </c:pt>
                <c:pt idx="3">
                  <c:v>.</c:v>
                </c:pt>
                <c:pt idx="4">
                  <c:v>.</c:v>
                </c:pt>
                <c:pt idx="5">
                  <c:v>.</c:v>
                </c:pt>
                <c:pt idx="6">
                  <c:v>.</c:v>
                </c:pt>
                <c:pt idx="7">
                  <c:v>.</c:v>
                </c:pt>
                <c:pt idx="8">
                  <c:v>.</c:v>
                </c:pt>
              </c:strCache>
            </c:strRef>
          </c:cat>
          <c:val>
            <c:numRef>
              <c:f>'Condition A'!$D$388:$D$396</c:f>
              <c:numCache>
                <c:formatCode>0.0</c:formatCode>
                <c:ptCount val="9"/>
                <c:pt idx="0">
                  <c:v>0</c:v>
                </c:pt>
                <c:pt idx="1">
                  <c:v>0</c:v>
                </c:pt>
                <c:pt idx="2">
                  <c:v>0</c:v>
                </c:pt>
                <c:pt idx="3">
                  <c:v>0</c:v>
                </c:pt>
                <c:pt idx="4">
                  <c:v>0</c:v>
                </c:pt>
                <c:pt idx="5">
                  <c:v>0</c:v>
                </c:pt>
                <c:pt idx="6">
                  <c:v>0</c:v>
                </c:pt>
                <c:pt idx="7">
                  <c:v>0</c:v>
                </c:pt>
                <c:pt idx="8">
                  <c:v>0</c:v>
                </c:pt>
              </c:numCache>
            </c:numRef>
          </c:val>
        </c:ser>
        <c:axId val="86289792"/>
        <c:axId val="86295680"/>
      </c:barChart>
      <c:catAx>
        <c:axId val="86289792"/>
        <c:scaling>
          <c:orientation val="minMax"/>
        </c:scaling>
        <c:axPos val="b"/>
        <c:numFmt formatCode="General" sourceLinked="1"/>
        <c:majorTickMark val="none"/>
        <c:tickLblPos val="nextTo"/>
        <c:crossAx val="86295680"/>
        <c:crosses val="autoZero"/>
        <c:auto val="1"/>
        <c:lblAlgn val="ctr"/>
        <c:lblOffset val="100"/>
      </c:catAx>
      <c:valAx>
        <c:axId val="86295680"/>
        <c:scaling>
          <c:orientation val="minMax"/>
          <c:max val="100"/>
        </c:scaling>
        <c:axPos val="l"/>
        <c:majorGridlines/>
        <c:numFmt formatCode="0.0" sourceLinked="1"/>
        <c:majorTickMark val="none"/>
        <c:tickLblPos val="nextTo"/>
        <c:crossAx val="86289792"/>
        <c:crosses val="autoZero"/>
        <c:crossBetween val="between"/>
      </c:valAx>
    </c:plotArea>
    <c:plotVisOnly val="1"/>
    <c:dispBlanksAs val="gap"/>
  </c:chart>
  <c:printSettings>
    <c:headerFooter/>
    <c:pageMargins b="0.7500000000000091" l="0.70000000000000062" r="0.70000000000000062" t="0.7500000000000091"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IE"/>
  <c:chart>
    <c:title>
      <c:tx>
        <c:strRef>
          <c:f>'Condition A'!$A$401</c:f>
          <c:strCache>
            <c:ptCount val="1"/>
            <c:pt idx="0">
              <c:v>How your respect and dignity is protected?</c:v>
            </c:pt>
          </c:strCache>
        </c:strRef>
      </c:tx>
    </c:title>
    <c:plotArea>
      <c:layout/>
      <c:barChart>
        <c:barDir val="col"/>
        <c:grouping val="clustered"/>
        <c:ser>
          <c:idx val="0"/>
          <c:order val="0"/>
          <c:dLbls>
            <c:showVal val="1"/>
          </c:dLbls>
          <c:cat>
            <c:strRef>
              <c:f>'Condition A'!$A$403:$A$411</c:f>
              <c:strCache>
                <c:ptCount val="9"/>
                <c:pt idx="0">
                  <c:v>Happy</c:v>
                </c:pt>
                <c:pt idx="1">
                  <c:v>Neutral</c:v>
                </c:pt>
                <c:pt idx="2">
                  <c:v>Unhappy</c:v>
                </c:pt>
                <c:pt idx="3">
                  <c:v>.</c:v>
                </c:pt>
                <c:pt idx="4">
                  <c:v>.</c:v>
                </c:pt>
                <c:pt idx="5">
                  <c:v>.</c:v>
                </c:pt>
                <c:pt idx="6">
                  <c:v>.</c:v>
                </c:pt>
                <c:pt idx="7">
                  <c:v>.</c:v>
                </c:pt>
                <c:pt idx="8">
                  <c:v>.</c:v>
                </c:pt>
              </c:strCache>
            </c:strRef>
          </c:cat>
          <c:val>
            <c:numRef>
              <c:f>'Condition A'!$D$403:$D$411</c:f>
              <c:numCache>
                <c:formatCode>0.0</c:formatCode>
                <c:ptCount val="9"/>
                <c:pt idx="0">
                  <c:v>0</c:v>
                </c:pt>
                <c:pt idx="1">
                  <c:v>0</c:v>
                </c:pt>
                <c:pt idx="2">
                  <c:v>0</c:v>
                </c:pt>
                <c:pt idx="3">
                  <c:v>0</c:v>
                </c:pt>
                <c:pt idx="4">
                  <c:v>0</c:v>
                </c:pt>
                <c:pt idx="5">
                  <c:v>0</c:v>
                </c:pt>
                <c:pt idx="6">
                  <c:v>0</c:v>
                </c:pt>
                <c:pt idx="7">
                  <c:v>0</c:v>
                </c:pt>
                <c:pt idx="8">
                  <c:v>0</c:v>
                </c:pt>
              </c:numCache>
            </c:numRef>
          </c:val>
        </c:ser>
        <c:axId val="86328448"/>
        <c:axId val="86329984"/>
      </c:barChart>
      <c:catAx>
        <c:axId val="86328448"/>
        <c:scaling>
          <c:orientation val="minMax"/>
        </c:scaling>
        <c:axPos val="b"/>
        <c:numFmt formatCode="General" sourceLinked="1"/>
        <c:majorTickMark val="none"/>
        <c:tickLblPos val="nextTo"/>
        <c:crossAx val="86329984"/>
        <c:crosses val="autoZero"/>
        <c:auto val="1"/>
        <c:lblAlgn val="ctr"/>
        <c:lblOffset val="100"/>
      </c:catAx>
      <c:valAx>
        <c:axId val="86329984"/>
        <c:scaling>
          <c:orientation val="minMax"/>
          <c:max val="100"/>
        </c:scaling>
        <c:axPos val="l"/>
        <c:majorGridlines/>
        <c:numFmt formatCode="0.0" sourceLinked="1"/>
        <c:majorTickMark val="none"/>
        <c:tickLblPos val="nextTo"/>
        <c:crossAx val="86328448"/>
        <c:crosses val="autoZero"/>
        <c:crossBetween val="between"/>
      </c:valAx>
    </c:plotArea>
    <c:plotVisOnly val="1"/>
    <c:dispBlanksAs val="gap"/>
  </c:chart>
  <c:printSettings>
    <c:headerFooter/>
    <c:pageMargins b="0.75000000000000933" l="0.70000000000000062" r="0.70000000000000062" t="0.75000000000000933"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IE"/>
  <c:chart>
    <c:title>
      <c:tx>
        <c:strRef>
          <c:f>'Condition A'!$A$416</c:f>
          <c:strCache>
            <c:ptCount val="1"/>
            <c:pt idx="0">
              <c:v>How safe you feel?</c:v>
            </c:pt>
          </c:strCache>
        </c:strRef>
      </c:tx>
    </c:title>
    <c:plotArea>
      <c:layout/>
      <c:barChart>
        <c:barDir val="col"/>
        <c:grouping val="clustered"/>
        <c:ser>
          <c:idx val="0"/>
          <c:order val="0"/>
          <c:dLbls>
            <c:showVal val="1"/>
          </c:dLbls>
          <c:cat>
            <c:strRef>
              <c:f>'Condition A'!$A$418:$A$426</c:f>
              <c:strCache>
                <c:ptCount val="9"/>
                <c:pt idx="0">
                  <c:v>Happy</c:v>
                </c:pt>
                <c:pt idx="1">
                  <c:v>Neutral</c:v>
                </c:pt>
                <c:pt idx="2">
                  <c:v>Unhappy</c:v>
                </c:pt>
                <c:pt idx="3">
                  <c:v>.</c:v>
                </c:pt>
                <c:pt idx="4">
                  <c:v>.</c:v>
                </c:pt>
                <c:pt idx="5">
                  <c:v>.</c:v>
                </c:pt>
                <c:pt idx="6">
                  <c:v>.</c:v>
                </c:pt>
                <c:pt idx="7">
                  <c:v>.</c:v>
                </c:pt>
                <c:pt idx="8">
                  <c:v>.</c:v>
                </c:pt>
              </c:strCache>
            </c:strRef>
          </c:cat>
          <c:val>
            <c:numRef>
              <c:f>'Condition A'!$D$418:$D$426</c:f>
              <c:numCache>
                <c:formatCode>0.0</c:formatCode>
                <c:ptCount val="9"/>
                <c:pt idx="0">
                  <c:v>0</c:v>
                </c:pt>
                <c:pt idx="1">
                  <c:v>0</c:v>
                </c:pt>
                <c:pt idx="2">
                  <c:v>0</c:v>
                </c:pt>
                <c:pt idx="3">
                  <c:v>0</c:v>
                </c:pt>
                <c:pt idx="4">
                  <c:v>0</c:v>
                </c:pt>
                <c:pt idx="5">
                  <c:v>0</c:v>
                </c:pt>
                <c:pt idx="6">
                  <c:v>0</c:v>
                </c:pt>
                <c:pt idx="7">
                  <c:v>0</c:v>
                </c:pt>
                <c:pt idx="8">
                  <c:v>0</c:v>
                </c:pt>
              </c:numCache>
            </c:numRef>
          </c:val>
        </c:ser>
        <c:axId val="86379136"/>
        <c:axId val="86385024"/>
      </c:barChart>
      <c:catAx>
        <c:axId val="86379136"/>
        <c:scaling>
          <c:orientation val="minMax"/>
        </c:scaling>
        <c:axPos val="b"/>
        <c:numFmt formatCode="General" sourceLinked="1"/>
        <c:majorTickMark val="none"/>
        <c:tickLblPos val="nextTo"/>
        <c:crossAx val="86385024"/>
        <c:crosses val="autoZero"/>
        <c:auto val="1"/>
        <c:lblAlgn val="ctr"/>
        <c:lblOffset val="100"/>
      </c:catAx>
      <c:valAx>
        <c:axId val="86385024"/>
        <c:scaling>
          <c:orientation val="minMax"/>
          <c:max val="100"/>
        </c:scaling>
        <c:axPos val="l"/>
        <c:majorGridlines/>
        <c:numFmt formatCode="0.0" sourceLinked="1"/>
        <c:majorTickMark val="none"/>
        <c:tickLblPos val="nextTo"/>
        <c:crossAx val="86379136"/>
        <c:crosses val="autoZero"/>
        <c:crossBetween val="between"/>
      </c:valAx>
    </c:plotArea>
    <c:plotVisOnly val="1"/>
    <c:dispBlanksAs val="gap"/>
  </c:chart>
  <c:printSettings>
    <c:headerFooter/>
    <c:pageMargins b="0.75000000000000955" l="0.70000000000000062" r="0.70000000000000062" t="0.7500000000000095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IE"/>
  <c:chart>
    <c:title>
      <c:tx>
        <c:strRef>
          <c:f>'Condition A'!$A$431</c:f>
          <c:strCache>
            <c:ptCount val="1"/>
            <c:pt idx="0">
              <c:v>Your relationships with other residents?</c:v>
            </c:pt>
          </c:strCache>
        </c:strRef>
      </c:tx>
    </c:title>
    <c:plotArea>
      <c:layout/>
      <c:barChart>
        <c:barDir val="col"/>
        <c:grouping val="clustered"/>
        <c:ser>
          <c:idx val="0"/>
          <c:order val="0"/>
          <c:dLbls>
            <c:showVal val="1"/>
          </c:dLbls>
          <c:cat>
            <c:strRef>
              <c:f>'Condition A'!$A$433:$A$441</c:f>
              <c:strCache>
                <c:ptCount val="9"/>
                <c:pt idx="0">
                  <c:v>Happy</c:v>
                </c:pt>
                <c:pt idx="1">
                  <c:v>Neutral</c:v>
                </c:pt>
                <c:pt idx="2">
                  <c:v>Unhappy</c:v>
                </c:pt>
                <c:pt idx="3">
                  <c:v>.</c:v>
                </c:pt>
                <c:pt idx="4">
                  <c:v>.</c:v>
                </c:pt>
                <c:pt idx="5">
                  <c:v>.</c:v>
                </c:pt>
                <c:pt idx="6">
                  <c:v>.</c:v>
                </c:pt>
                <c:pt idx="7">
                  <c:v>.</c:v>
                </c:pt>
                <c:pt idx="8">
                  <c:v>.</c:v>
                </c:pt>
              </c:strCache>
            </c:strRef>
          </c:cat>
          <c:val>
            <c:numRef>
              <c:f>'Condition A'!$D$433:$D$441</c:f>
              <c:numCache>
                <c:formatCode>0.0</c:formatCode>
                <c:ptCount val="9"/>
                <c:pt idx="0">
                  <c:v>0</c:v>
                </c:pt>
                <c:pt idx="1">
                  <c:v>0</c:v>
                </c:pt>
                <c:pt idx="2">
                  <c:v>0</c:v>
                </c:pt>
                <c:pt idx="3">
                  <c:v>0</c:v>
                </c:pt>
                <c:pt idx="4">
                  <c:v>0</c:v>
                </c:pt>
                <c:pt idx="5">
                  <c:v>0</c:v>
                </c:pt>
                <c:pt idx="6">
                  <c:v>0</c:v>
                </c:pt>
                <c:pt idx="7">
                  <c:v>0</c:v>
                </c:pt>
                <c:pt idx="8">
                  <c:v>0</c:v>
                </c:pt>
              </c:numCache>
            </c:numRef>
          </c:val>
        </c:ser>
        <c:axId val="86409216"/>
        <c:axId val="86410752"/>
      </c:barChart>
      <c:catAx>
        <c:axId val="86409216"/>
        <c:scaling>
          <c:orientation val="minMax"/>
        </c:scaling>
        <c:axPos val="b"/>
        <c:numFmt formatCode="General" sourceLinked="1"/>
        <c:majorTickMark val="none"/>
        <c:tickLblPos val="nextTo"/>
        <c:crossAx val="86410752"/>
        <c:crosses val="autoZero"/>
        <c:auto val="1"/>
        <c:lblAlgn val="ctr"/>
        <c:lblOffset val="100"/>
      </c:catAx>
      <c:valAx>
        <c:axId val="86410752"/>
        <c:scaling>
          <c:orientation val="minMax"/>
          <c:max val="100"/>
        </c:scaling>
        <c:axPos val="l"/>
        <c:majorGridlines/>
        <c:numFmt formatCode="0.0" sourceLinked="1"/>
        <c:majorTickMark val="none"/>
        <c:tickLblPos val="nextTo"/>
        <c:crossAx val="86409216"/>
        <c:crosses val="autoZero"/>
        <c:crossBetween val="between"/>
      </c:valAx>
    </c:plotArea>
    <c:plotVisOnly val="1"/>
    <c:dispBlanksAs val="gap"/>
  </c:chart>
  <c:printSettings>
    <c:headerFooter/>
    <c:pageMargins b="0.75000000000000977" l="0.70000000000000062" r="0.70000000000000062" t="0.750000000000009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E"/>
  <c:chart>
    <c:title>
      <c:tx>
        <c:strRef>
          <c:f>OverallResults!$A$83</c:f>
          <c:strCache>
            <c:ptCount val="1"/>
            <c:pt idx="0">
              <c:v>Taste of the food?</c:v>
            </c:pt>
          </c:strCache>
        </c:strRef>
      </c:tx>
    </c:title>
    <c:plotArea>
      <c:layout/>
      <c:barChart>
        <c:barDir val="col"/>
        <c:grouping val="clustered"/>
        <c:ser>
          <c:idx val="1"/>
          <c:order val="0"/>
          <c:dLbls>
            <c:showVal val="1"/>
          </c:dLbls>
          <c:cat>
            <c:strRef>
              <c:f>OverallResults!$A$85:$A$87</c:f>
              <c:strCache>
                <c:ptCount val="3"/>
                <c:pt idx="0">
                  <c:v>Happy</c:v>
                </c:pt>
                <c:pt idx="1">
                  <c:v>Neutral</c:v>
                </c:pt>
                <c:pt idx="2">
                  <c:v>Unhappy</c:v>
                </c:pt>
              </c:strCache>
            </c:strRef>
          </c:cat>
          <c:val>
            <c:numRef>
              <c:f>OverallResults!$D$85:$D$87</c:f>
              <c:numCache>
                <c:formatCode>0.0</c:formatCode>
                <c:ptCount val="3"/>
                <c:pt idx="0">
                  <c:v>0</c:v>
                </c:pt>
                <c:pt idx="1">
                  <c:v>0</c:v>
                </c:pt>
                <c:pt idx="2">
                  <c:v>0</c:v>
                </c:pt>
              </c:numCache>
            </c:numRef>
          </c:val>
        </c:ser>
        <c:axId val="74926336"/>
        <c:axId val="74932224"/>
      </c:barChart>
      <c:catAx>
        <c:axId val="74926336"/>
        <c:scaling>
          <c:orientation val="minMax"/>
        </c:scaling>
        <c:axPos val="b"/>
        <c:numFmt formatCode="General" sourceLinked="1"/>
        <c:majorTickMark val="none"/>
        <c:tickLblPos val="nextTo"/>
        <c:crossAx val="74932224"/>
        <c:crosses val="autoZero"/>
        <c:auto val="1"/>
        <c:lblAlgn val="ctr"/>
        <c:lblOffset val="100"/>
      </c:catAx>
      <c:valAx>
        <c:axId val="74932224"/>
        <c:scaling>
          <c:orientation val="minMax"/>
          <c:max val="100"/>
        </c:scaling>
        <c:axPos val="l"/>
        <c:majorGridlines/>
        <c:numFmt formatCode="0.0" sourceLinked="1"/>
        <c:majorTickMark val="none"/>
        <c:tickLblPos val="nextTo"/>
        <c:crossAx val="74926336"/>
        <c:crosses val="autoZero"/>
        <c:crossBetween val="between"/>
      </c:valAx>
    </c:plotArea>
    <c:plotVisOnly val="1"/>
    <c:dispBlanksAs val="gap"/>
  </c:chart>
  <c:printSettings>
    <c:headerFooter/>
    <c:pageMargins b="0.75000000000000577" l="0.70000000000000062" r="0.70000000000000062" t="0.75000000000000577"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IE"/>
  <c:chart>
    <c:title>
      <c:tx>
        <c:strRef>
          <c:f>'Condition A'!$A$446</c:f>
          <c:strCache>
            <c:ptCount val="1"/>
            <c:pt idx="0">
              <c:v>Your involvement in deciding on the activities in your centre? </c:v>
            </c:pt>
          </c:strCache>
        </c:strRef>
      </c:tx>
    </c:title>
    <c:plotArea>
      <c:layout/>
      <c:barChart>
        <c:barDir val="col"/>
        <c:grouping val="clustered"/>
        <c:ser>
          <c:idx val="0"/>
          <c:order val="0"/>
          <c:dLbls>
            <c:showVal val="1"/>
          </c:dLbls>
          <c:cat>
            <c:strRef>
              <c:f>'Condition A'!$A$448:$A$456</c:f>
              <c:strCache>
                <c:ptCount val="9"/>
                <c:pt idx="0">
                  <c:v>Happy</c:v>
                </c:pt>
                <c:pt idx="1">
                  <c:v>Neutral</c:v>
                </c:pt>
                <c:pt idx="2">
                  <c:v>Unhappy</c:v>
                </c:pt>
                <c:pt idx="3">
                  <c:v>.</c:v>
                </c:pt>
                <c:pt idx="4">
                  <c:v>.</c:v>
                </c:pt>
                <c:pt idx="5">
                  <c:v>.</c:v>
                </c:pt>
                <c:pt idx="6">
                  <c:v>.</c:v>
                </c:pt>
                <c:pt idx="7">
                  <c:v>.</c:v>
                </c:pt>
                <c:pt idx="8">
                  <c:v>.</c:v>
                </c:pt>
              </c:strCache>
            </c:strRef>
          </c:cat>
          <c:val>
            <c:numRef>
              <c:f>'Condition A'!$D$448:$D$456</c:f>
              <c:numCache>
                <c:formatCode>0.0</c:formatCode>
                <c:ptCount val="9"/>
                <c:pt idx="0">
                  <c:v>0</c:v>
                </c:pt>
                <c:pt idx="1">
                  <c:v>0</c:v>
                </c:pt>
                <c:pt idx="2">
                  <c:v>0</c:v>
                </c:pt>
                <c:pt idx="3">
                  <c:v>0</c:v>
                </c:pt>
                <c:pt idx="4">
                  <c:v>0</c:v>
                </c:pt>
                <c:pt idx="5">
                  <c:v>0</c:v>
                </c:pt>
                <c:pt idx="6">
                  <c:v>0</c:v>
                </c:pt>
                <c:pt idx="7">
                  <c:v>0</c:v>
                </c:pt>
                <c:pt idx="8">
                  <c:v>0</c:v>
                </c:pt>
              </c:numCache>
            </c:numRef>
          </c:val>
        </c:ser>
        <c:axId val="86422656"/>
        <c:axId val="86424192"/>
      </c:barChart>
      <c:catAx>
        <c:axId val="86422656"/>
        <c:scaling>
          <c:orientation val="minMax"/>
        </c:scaling>
        <c:axPos val="b"/>
        <c:numFmt formatCode="General" sourceLinked="1"/>
        <c:majorTickMark val="none"/>
        <c:tickLblPos val="nextTo"/>
        <c:crossAx val="86424192"/>
        <c:crosses val="autoZero"/>
        <c:auto val="1"/>
        <c:lblAlgn val="ctr"/>
        <c:lblOffset val="100"/>
      </c:catAx>
      <c:valAx>
        <c:axId val="86424192"/>
        <c:scaling>
          <c:orientation val="minMax"/>
          <c:max val="100"/>
        </c:scaling>
        <c:axPos val="l"/>
        <c:majorGridlines/>
        <c:numFmt formatCode="0.0" sourceLinked="1"/>
        <c:majorTickMark val="none"/>
        <c:tickLblPos val="nextTo"/>
        <c:crossAx val="86422656"/>
        <c:crosses val="autoZero"/>
        <c:crossBetween val="between"/>
      </c:valAx>
    </c:plotArea>
    <c:plotVisOnly val="1"/>
    <c:dispBlanksAs val="gap"/>
  </c:chart>
  <c:printSettings>
    <c:headerFooter/>
    <c:pageMargins b="0.75000000000000999" l="0.70000000000000062" r="0.70000000000000062" t="0.75000000000000999"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IE"/>
  <c:chart>
    <c:title>
      <c:tx>
        <c:strRef>
          <c:f>'Condition A'!$A$461</c:f>
          <c:strCache>
            <c:ptCount val="1"/>
            <c:pt idx="0">
              <c:v>How often you go outside your centre? </c:v>
            </c:pt>
          </c:strCache>
        </c:strRef>
      </c:tx>
    </c:title>
    <c:plotArea>
      <c:layout/>
      <c:barChart>
        <c:barDir val="col"/>
        <c:grouping val="clustered"/>
        <c:ser>
          <c:idx val="0"/>
          <c:order val="0"/>
          <c:dLbls>
            <c:showVal val="1"/>
          </c:dLbls>
          <c:cat>
            <c:strRef>
              <c:f>'Condition A'!$A$463:$A$471</c:f>
              <c:strCache>
                <c:ptCount val="9"/>
                <c:pt idx="0">
                  <c:v>Happy</c:v>
                </c:pt>
                <c:pt idx="1">
                  <c:v>Neutral</c:v>
                </c:pt>
                <c:pt idx="2">
                  <c:v>Unhappy</c:v>
                </c:pt>
                <c:pt idx="3">
                  <c:v>.</c:v>
                </c:pt>
                <c:pt idx="4">
                  <c:v>.</c:v>
                </c:pt>
                <c:pt idx="5">
                  <c:v>.</c:v>
                </c:pt>
                <c:pt idx="6">
                  <c:v>.</c:v>
                </c:pt>
                <c:pt idx="7">
                  <c:v>.</c:v>
                </c:pt>
                <c:pt idx="8">
                  <c:v>.</c:v>
                </c:pt>
              </c:strCache>
            </c:strRef>
          </c:cat>
          <c:val>
            <c:numRef>
              <c:f>'Condition A'!$D$463:$D$471</c:f>
              <c:numCache>
                <c:formatCode>0.0</c:formatCode>
                <c:ptCount val="9"/>
                <c:pt idx="0">
                  <c:v>0</c:v>
                </c:pt>
                <c:pt idx="1">
                  <c:v>0</c:v>
                </c:pt>
                <c:pt idx="2">
                  <c:v>0</c:v>
                </c:pt>
                <c:pt idx="3">
                  <c:v>0</c:v>
                </c:pt>
                <c:pt idx="4">
                  <c:v>0</c:v>
                </c:pt>
                <c:pt idx="5">
                  <c:v>0</c:v>
                </c:pt>
                <c:pt idx="6">
                  <c:v>0</c:v>
                </c:pt>
                <c:pt idx="7">
                  <c:v>0</c:v>
                </c:pt>
                <c:pt idx="8">
                  <c:v>0</c:v>
                </c:pt>
              </c:numCache>
            </c:numRef>
          </c:val>
        </c:ser>
        <c:axId val="86464768"/>
        <c:axId val="86466560"/>
      </c:barChart>
      <c:catAx>
        <c:axId val="86464768"/>
        <c:scaling>
          <c:orientation val="minMax"/>
        </c:scaling>
        <c:axPos val="b"/>
        <c:numFmt formatCode="General" sourceLinked="1"/>
        <c:majorTickMark val="none"/>
        <c:tickLblPos val="nextTo"/>
        <c:crossAx val="86466560"/>
        <c:crosses val="autoZero"/>
        <c:auto val="1"/>
        <c:lblAlgn val="ctr"/>
        <c:lblOffset val="100"/>
      </c:catAx>
      <c:valAx>
        <c:axId val="86466560"/>
        <c:scaling>
          <c:orientation val="minMax"/>
          <c:max val="100"/>
        </c:scaling>
        <c:axPos val="l"/>
        <c:majorGridlines/>
        <c:numFmt formatCode="0.0" sourceLinked="1"/>
        <c:majorTickMark val="none"/>
        <c:tickLblPos val="nextTo"/>
        <c:crossAx val="86464768"/>
        <c:crosses val="autoZero"/>
        <c:crossBetween val="between"/>
      </c:valAx>
    </c:plotArea>
    <c:plotVisOnly val="1"/>
    <c:dispBlanksAs val="gap"/>
  </c:chart>
  <c:printSettings>
    <c:headerFooter/>
    <c:pageMargins b="0.75000000000001021" l="0.70000000000000062" r="0.70000000000000062" t="0.75000000000001021"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IE"/>
  <c:chart>
    <c:title>
      <c:tx>
        <c:strRef>
          <c:f>'Condition A'!$A$476</c:f>
          <c:strCache>
            <c:ptCount val="1"/>
            <c:pt idx="0">
              <c:v>Your participation in the wider community outside your centre? </c:v>
            </c:pt>
          </c:strCache>
        </c:strRef>
      </c:tx>
    </c:title>
    <c:plotArea>
      <c:layout/>
      <c:barChart>
        <c:barDir val="col"/>
        <c:grouping val="clustered"/>
        <c:ser>
          <c:idx val="0"/>
          <c:order val="0"/>
          <c:dLbls>
            <c:showVal val="1"/>
          </c:dLbls>
          <c:cat>
            <c:strRef>
              <c:f>'Condition A'!$A$478:$A$486</c:f>
              <c:strCache>
                <c:ptCount val="9"/>
                <c:pt idx="0">
                  <c:v>Happy</c:v>
                </c:pt>
                <c:pt idx="1">
                  <c:v>Neutral</c:v>
                </c:pt>
                <c:pt idx="2">
                  <c:v>Unhappy</c:v>
                </c:pt>
                <c:pt idx="3">
                  <c:v>.</c:v>
                </c:pt>
                <c:pt idx="4">
                  <c:v>.</c:v>
                </c:pt>
                <c:pt idx="5">
                  <c:v>.</c:v>
                </c:pt>
                <c:pt idx="6">
                  <c:v>.</c:v>
                </c:pt>
                <c:pt idx="7">
                  <c:v>.</c:v>
                </c:pt>
                <c:pt idx="8">
                  <c:v>.</c:v>
                </c:pt>
              </c:strCache>
            </c:strRef>
          </c:cat>
          <c:val>
            <c:numRef>
              <c:f>'Condition A'!$D$478:$D$486</c:f>
              <c:numCache>
                <c:formatCode>0.0</c:formatCode>
                <c:ptCount val="9"/>
                <c:pt idx="0">
                  <c:v>0</c:v>
                </c:pt>
                <c:pt idx="1">
                  <c:v>0</c:v>
                </c:pt>
                <c:pt idx="2">
                  <c:v>0</c:v>
                </c:pt>
                <c:pt idx="3">
                  <c:v>0</c:v>
                </c:pt>
                <c:pt idx="4">
                  <c:v>0</c:v>
                </c:pt>
                <c:pt idx="5">
                  <c:v>0</c:v>
                </c:pt>
                <c:pt idx="6">
                  <c:v>0</c:v>
                </c:pt>
                <c:pt idx="7">
                  <c:v>0</c:v>
                </c:pt>
                <c:pt idx="8">
                  <c:v>0</c:v>
                </c:pt>
              </c:numCache>
            </c:numRef>
          </c:val>
        </c:ser>
        <c:axId val="86481920"/>
        <c:axId val="86496000"/>
      </c:barChart>
      <c:catAx>
        <c:axId val="86481920"/>
        <c:scaling>
          <c:orientation val="minMax"/>
        </c:scaling>
        <c:axPos val="b"/>
        <c:numFmt formatCode="General" sourceLinked="1"/>
        <c:majorTickMark val="none"/>
        <c:tickLblPos val="nextTo"/>
        <c:crossAx val="86496000"/>
        <c:crosses val="autoZero"/>
        <c:auto val="1"/>
        <c:lblAlgn val="ctr"/>
        <c:lblOffset val="100"/>
      </c:catAx>
      <c:valAx>
        <c:axId val="86496000"/>
        <c:scaling>
          <c:orientation val="minMax"/>
          <c:max val="100"/>
        </c:scaling>
        <c:axPos val="l"/>
        <c:majorGridlines/>
        <c:numFmt formatCode="0.0" sourceLinked="1"/>
        <c:majorTickMark val="none"/>
        <c:tickLblPos val="nextTo"/>
        <c:crossAx val="86481920"/>
        <c:crosses val="autoZero"/>
        <c:crossBetween val="between"/>
      </c:valAx>
    </c:plotArea>
    <c:plotVisOnly val="1"/>
    <c:dispBlanksAs val="gap"/>
  </c:chart>
  <c:printSettings>
    <c:headerFooter/>
    <c:pageMargins b="0.75000000000001044" l="0.70000000000000062" r="0.70000000000000062" t="0.75000000000001044"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IE"/>
  <c:chart>
    <c:title>
      <c:tx>
        <c:strRef>
          <c:f>'Condition A'!$A$491</c:f>
          <c:strCache>
            <c:ptCount val="1"/>
            <c:pt idx="0">
              <c:v>Have you a Personal plan?</c:v>
            </c:pt>
          </c:strCache>
        </c:strRef>
      </c:tx>
    </c:title>
    <c:plotArea>
      <c:layout/>
      <c:barChart>
        <c:barDir val="col"/>
        <c:grouping val="clustered"/>
        <c:ser>
          <c:idx val="0"/>
          <c:order val="0"/>
          <c:dLbls>
            <c:showVal val="1"/>
          </c:dLbls>
          <c:cat>
            <c:strRef>
              <c:f>'Condition A'!$A$493:$A$501</c:f>
              <c:strCache>
                <c:ptCount val="9"/>
                <c:pt idx="0">
                  <c:v>Yes</c:v>
                </c:pt>
                <c:pt idx="1">
                  <c:v>No</c:v>
                </c:pt>
                <c:pt idx="2">
                  <c:v>I don't know</c:v>
                </c:pt>
                <c:pt idx="3">
                  <c:v>.</c:v>
                </c:pt>
                <c:pt idx="4">
                  <c:v>.</c:v>
                </c:pt>
                <c:pt idx="5">
                  <c:v>.</c:v>
                </c:pt>
                <c:pt idx="6">
                  <c:v>.</c:v>
                </c:pt>
                <c:pt idx="7">
                  <c:v>.</c:v>
                </c:pt>
                <c:pt idx="8">
                  <c:v>.</c:v>
                </c:pt>
              </c:strCache>
            </c:strRef>
          </c:cat>
          <c:val>
            <c:numRef>
              <c:f>'Condition A'!$D$493:$D$501</c:f>
              <c:numCache>
                <c:formatCode>0.0</c:formatCode>
                <c:ptCount val="9"/>
                <c:pt idx="0">
                  <c:v>0</c:v>
                </c:pt>
                <c:pt idx="1">
                  <c:v>0</c:v>
                </c:pt>
                <c:pt idx="2">
                  <c:v>0</c:v>
                </c:pt>
                <c:pt idx="3">
                  <c:v>0</c:v>
                </c:pt>
                <c:pt idx="4">
                  <c:v>0</c:v>
                </c:pt>
                <c:pt idx="5">
                  <c:v>0</c:v>
                </c:pt>
                <c:pt idx="6">
                  <c:v>0</c:v>
                </c:pt>
                <c:pt idx="7">
                  <c:v>0</c:v>
                </c:pt>
                <c:pt idx="8">
                  <c:v>0</c:v>
                </c:pt>
              </c:numCache>
            </c:numRef>
          </c:val>
        </c:ser>
        <c:axId val="86548864"/>
        <c:axId val="86550400"/>
      </c:barChart>
      <c:catAx>
        <c:axId val="86548864"/>
        <c:scaling>
          <c:orientation val="minMax"/>
        </c:scaling>
        <c:axPos val="b"/>
        <c:numFmt formatCode="General" sourceLinked="1"/>
        <c:majorTickMark val="none"/>
        <c:tickLblPos val="nextTo"/>
        <c:crossAx val="86550400"/>
        <c:crosses val="autoZero"/>
        <c:auto val="1"/>
        <c:lblAlgn val="ctr"/>
        <c:lblOffset val="100"/>
      </c:catAx>
      <c:valAx>
        <c:axId val="86550400"/>
        <c:scaling>
          <c:orientation val="minMax"/>
          <c:max val="100"/>
        </c:scaling>
        <c:axPos val="l"/>
        <c:majorGridlines/>
        <c:numFmt formatCode="0.0" sourceLinked="1"/>
        <c:majorTickMark val="none"/>
        <c:tickLblPos val="nextTo"/>
        <c:crossAx val="86548864"/>
        <c:crosses val="autoZero"/>
        <c:crossBetween val="between"/>
      </c:valAx>
    </c:plotArea>
    <c:plotVisOnly val="1"/>
    <c:dispBlanksAs val="gap"/>
  </c:chart>
  <c:printSettings>
    <c:headerFooter/>
    <c:pageMargins b="0.75000000000001066" l="0.70000000000000062" r="0.70000000000000062" t="0.75000000000001066"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IE"/>
  <c:chart>
    <c:title>
      <c:tx>
        <c:strRef>
          <c:f>'Condition A'!$A$506</c:f>
          <c:strCache>
            <c:ptCount val="1"/>
            <c:pt idx="0">
              <c:v>Are easy to talk to?</c:v>
            </c:pt>
          </c:strCache>
        </c:strRef>
      </c:tx>
    </c:title>
    <c:plotArea>
      <c:layout/>
      <c:barChart>
        <c:barDir val="col"/>
        <c:grouping val="clustered"/>
        <c:ser>
          <c:idx val="0"/>
          <c:order val="0"/>
          <c:dLbls>
            <c:showVal val="1"/>
          </c:dLbls>
          <c:cat>
            <c:strRef>
              <c:f>'Condition A'!$A$508:$A$516</c:f>
              <c:strCache>
                <c:ptCount val="9"/>
                <c:pt idx="0">
                  <c:v>Happy</c:v>
                </c:pt>
                <c:pt idx="1">
                  <c:v>Neutral</c:v>
                </c:pt>
                <c:pt idx="2">
                  <c:v>Unhappy</c:v>
                </c:pt>
                <c:pt idx="3">
                  <c:v>.</c:v>
                </c:pt>
                <c:pt idx="4">
                  <c:v>.</c:v>
                </c:pt>
                <c:pt idx="5">
                  <c:v>.</c:v>
                </c:pt>
                <c:pt idx="6">
                  <c:v>.</c:v>
                </c:pt>
                <c:pt idx="7">
                  <c:v>.</c:v>
                </c:pt>
                <c:pt idx="8">
                  <c:v>.</c:v>
                </c:pt>
              </c:strCache>
            </c:strRef>
          </c:cat>
          <c:val>
            <c:numRef>
              <c:f>'Condition A'!$D$508:$D$516</c:f>
              <c:numCache>
                <c:formatCode>0.0</c:formatCode>
                <c:ptCount val="9"/>
                <c:pt idx="0">
                  <c:v>0</c:v>
                </c:pt>
                <c:pt idx="1">
                  <c:v>0</c:v>
                </c:pt>
                <c:pt idx="2">
                  <c:v>0</c:v>
                </c:pt>
                <c:pt idx="3">
                  <c:v>0</c:v>
                </c:pt>
                <c:pt idx="4">
                  <c:v>0</c:v>
                </c:pt>
                <c:pt idx="5">
                  <c:v>0</c:v>
                </c:pt>
                <c:pt idx="6">
                  <c:v>0</c:v>
                </c:pt>
                <c:pt idx="7">
                  <c:v>0</c:v>
                </c:pt>
                <c:pt idx="8">
                  <c:v>0</c:v>
                </c:pt>
              </c:numCache>
            </c:numRef>
          </c:val>
        </c:ser>
        <c:axId val="86566400"/>
        <c:axId val="86567936"/>
      </c:barChart>
      <c:catAx>
        <c:axId val="86566400"/>
        <c:scaling>
          <c:orientation val="minMax"/>
        </c:scaling>
        <c:axPos val="b"/>
        <c:numFmt formatCode="General" sourceLinked="1"/>
        <c:majorTickMark val="none"/>
        <c:tickLblPos val="nextTo"/>
        <c:crossAx val="86567936"/>
        <c:crosses val="autoZero"/>
        <c:auto val="1"/>
        <c:lblAlgn val="ctr"/>
        <c:lblOffset val="100"/>
      </c:catAx>
      <c:valAx>
        <c:axId val="86567936"/>
        <c:scaling>
          <c:orientation val="minMax"/>
          <c:max val="100"/>
        </c:scaling>
        <c:axPos val="l"/>
        <c:majorGridlines/>
        <c:numFmt formatCode="0.0" sourceLinked="1"/>
        <c:majorTickMark val="none"/>
        <c:tickLblPos val="nextTo"/>
        <c:crossAx val="86566400"/>
        <c:crosses val="autoZero"/>
        <c:crossBetween val="between"/>
      </c:valAx>
    </c:plotArea>
    <c:plotVisOnly val="1"/>
    <c:dispBlanksAs val="gap"/>
  </c:chart>
  <c:printSettings>
    <c:headerFooter/>
    <c:pageMargins b="0.75000000000001088" l="0.70000000000000062" r="0.70000000000000062" t="0.75000000000001088"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IE"/>
  <c:chart>
    <c:title>
      <c:tx>
        <c:strRef>
          <c:f>'Condition A'!$A$521</c:f>
          <c:strCache>
            <c:ptCount val="1"/>
            <c:pt idx="0">
              <c:v>Listen to you?</c:v>
            </c:pt>
          </c:strCache>
        </c:strRef>
      </c:tx>
    </c:title>
    <c:plotArea>
      <c:layout/>
      <c:barChart>
        <c:barDir val="col"/>
        <c:grouping val="clustered"/>
        <c:ser>
          <c:idx val="0"/>
          <c:order val="0"/>
          <c:dLbls>
            <c:showVal val="1"/>
          </c:dLbls>
          <c:cat>
            <c:strRef>
              <c:f>'Condition A'!$A$523:$A$531</c:f>
              <c:strCache>
                <c:ptCount val="9"/>
                <c:pt idx="0">
                  <c:v>Happy</c:v>
                </c:pt>
                <c:pt idx="1">
                  <c:v>Neutral</c:v>
                </c:pt>
                <c:pt idx="2">
                  <c:v>Unhappy</c:v>
                </c:pt>
                <c:pt idx="3">
                  <c:v>.</c:v>
                </c:pt>
                <c:pt idx="4">
                  <c:v>.</c:v>
                </c:pt>
                <c:pt idx="5">
                  <c:v>.</c:v>
                </c:pt>
                <c:pt idx="6">
                  <c:v>.</c:v>
                </c:pt>
                <c:pt idx="7">
                  <c:v>.</c:v>
                </c:pt>
                <c:pt idx="8">
                  <c:v>.</c:v>
                </c:pt>
              </c:strCache>
            </c:strRef>
          </c:cat>
          <c:val>
            <c:numRef>
              <c:f>'Condition A'!$D$523:$D$531</c:f>
              <c:numCache>
                <c:formatCode>0.0</c:formatCode>
                <c:ptCount val="9"/>
                <c:pt idx="0">
                  <c:v>0</c:v>
                </c:pt>
                <c:pt idx="1">
                  <c:v>0</c:v>
                </c:pt>
                <c:pt idx="2">
                  <c:v>0</c:v>
                </c:pt>
                <c:pt idx="3">
                  <c:v>0</c:v>
                </c:pt>
                <c:pt idx="4">
                  <c:v>0</c:v>
                </c:pt>
                <c:pt idx="5">
                  <c:v>0</c:v>
                </c:pt>
                <c:pt idx="6">
                  <c:v>0</c:v>
                </c:pt>
                <c:pt idx="7">
                  <c:v>0</c:v>
                </c:pt>
                <c:pt idx="8">
                  <c:v>0</c:v>
                </c:pt>
              </c:numCache>
            </c:numRef>
          </c:val>
        </c:ser>
        <c:axId val="86604416"/>
        <c:axId val="86610304"/>
      </c:barChart>
      <c:catAx>
        <c:axId val="86604416"/>
        <c:scaling>
          <c:orientation val="minMax"/>
        </c:scaling>
        <c:axPos val="b"/>
        <c:numFmt formatCode="General" sourceLinked="1"/>
        <c:majorTickMark val="none"/>
        <c:tickLblPos val="nextTo"/>
        <c:crossAx val="86610304"/>
        <c:crosses val="autoZero"/>
        <c:auto val="1"/>
        <c:lblAlgn val="ctr"/>
        <c:lblOffset val="100"/>
      </c:catAx>
      <c:valAx>
        <c:axId val="86610304"/>
        <c:scaling>
          <c:orientation val="minMax"/>
          <c:max val="100"/>
        </c:scaling>
        <c:axPos val="l"/>
        <c:majorGridlines/>
        <c:numFmt formatCode="0.0" sourceLinked="1"/>
        <c:majorTickMark val="none"/>
        <c:tickLblPos val="nextTo"/>
        <c:crossAx val="86604416"/>
        <c:crosses val="autoZero"/>
        <c:crossBetween val="between"/>
      </c:valAx>
    </c:plotArea>
    <c:plotVisOnly val="1"/>
    <c:dispBlanksAs val="gap"/>
  </c:chart>
  <c:printSettings>
    <c:headerFooter/>
    <c:pageMargins b="0.7500000000000111" l="0.70000000000000062" r="0.70000000000000062" t="0.7500000000000111"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IE"/>
  <c:chart>
    <c:title>
      <c:tx>
        <c:strRef>
          <c:f>'Condition A'!$A$536</c:f>
          <c:strCache>
            <c:ptCount val="1"/>
            <c:pt idx="0">
              <c:v>Know your likes and dislikes?</c:v>
            </c:pt>
          </c:strCache>
        </c:strRef>
      </c:tx>
    </c:title>
    <c:plotArea>
      <c:layout/>
      <c:barChart>
        <c:barDir val="col"/>
        <c:grouping val="clustered"/>
        <c:ser>
          <c:idx val="0"/>
          <c:order val="0"/>
          <c:dLbls>
            <c:showVal val="1"/>
          </c:dLbls>
          <c:cat>
            <c:strRef>
              <c:f>'Condition A'!$A$538:$A$546</c:f>
              <c:strCache>
                <c:ptCount val="9"/>
                <c:pt idx="0">
                  <c:v>Happy</c:v>
                </c:pt>
                <c:pt idx="1">
                  <c:v>Neutral</c:v>
                </c:pt>
                <c:pt idx="2">
                  <c:v>Unhappy</c:v>
                </c:pt>
                <c:pt idx="3">
                  <c:v>.</c:v>
                </c:pt>
                <c:pt idx="4">
                  <c:v>.</c:v>
                </c:pt>
                <c:pt idx="5">
                  <c:v>.</c:v>
                </c:pt>
                <c:pt idx="6">
                  <c:v>.</c:v>
                </c:pt>
                <c:pt idx="7">
                  <c:v>.</c:v>
                </c:pt>
                <c:pt idx="8">
                  <c:v>.</c:v>
                </c:pt>
              </c:strCache>
            </c:strRef>
          </c:cat>
          <c:val>
            <c:numRef>
              <c:f>'Condition A'!$D$538:$D$546</c:f>
              <c:numCache>
                <c:formatCode>0.0</c:formatCode>
                <c:ptCount val="9"/>
                <c:pt idx="0">
                  <c:v>0</c:v>
                </c:pt>
                <c:pt idx="1">
                  <c:v>0</c:v>
                </c:pt>
                <c:pt idx="2">
                  <c:v>0</c:v>
                </c:pt>
                <c:pt idx="3">
                  <c:v>0</c:v>
                </c:pt>
                <c:pt idx="4">
                  <c:v>0</c:v>
                </c:pt>
                <c:pt idx="5">
                  <c:v>0</c:v>
                </c:pt>
                <c:pt idx="6">
                  <c:v>0</c:v>
                </c:pt>
                <c:pt idx="7">
                  <c:v>0</c:v>
                </c:pt>
                <c:pt idx="8">
                  <c:v>0</c:v>
                </c:pt>
              </c:numCache>
            </c:numRef>
          </c:val>
        </c:ser>
        <c:axId val="86659072"/>
        <c:axId val="86660608"/>
      </c:barChart>
      <c:catAx>
        <c:axId val="86659072"/>
        <c:scaling>
          <c:orientation val="minMax"/>
        </c:scaling>
        <c:axPos val="b"/>
        <c:numFmt formatCode="General" sourceLinked="1"/>
        <c:majorTickMark val="none"/>
        <c:tickLblPos val="nextTo"/>
        <c:crossAx val="86660608"/>
        <c:crosses val="autoZero"/>
        <c:auto val="1"/>
        <c:lblAlgn val="ctr"/>
        <c:lblOffset val="100"/>
      </c:catAx>
      <c:valAx>
        <c:axId val="86660608"/>
        <c:scaling>
          <c:orientation val="minMax"/>
          <c:max val="100"/>
        </c:scaling>
        <c:axPos val="l"/>
        <c:majorGridlines/>
        <c:numFmt formatCode="0.0" sourceLinked="1"/>
        <c:majorTickMark val="none"/>
        <c:tickLblPos val="nextTo"/>
        <c:crossAx val="86659072"/>
        <c:crosses val="autoZero"/>
        <c:crossBetween val="between"/>
      </c:valAx>
    </c:plotArea>
    <c:plotVisOnly val="1"/>
    <c:dispBlanksAs val="gap"/>
  </c:chart>
  <c:printSettings>
    <c:headerFooter/>
    <c:pageMargins b="0.75000000000001132" l="0.70000000000000062" r="0.70000000000000062" t="0.75000000000001132"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IE"/>
  <c:chart>
    <c:title>
      <c:tx>
        <c:strRef>
          <c:f>'Condition A'!$A$551</c:f>
          <c:strCache>
            <c:ptCount val="1"/>
            <c:pt idx="0">
              <c:v>Getting dressed?</c:v>
            </c:pt>
          </c:strCache>
        </c:strRef>
      </c:tx>
    </c:title>
    <c:plotArea>
      <c:layout/>
      <c:barChart>
        <c:barDir val="col"/>
        <c:grouping val="clustered"/>
        <c:ser>
          <c:idx val="0"/>
          <c:order val="0"/>
          <c:dLbls>
            <c:showVal val="1"/>
          </c:dLbls>
          <c:cat>
            <c:strRef>
              <c:f>'Condition A'!$A$553:$A$561</c:f>
              <c:strCache>
                <c:ptCount val="9"/>
                <c:pt idx="0">
                  <c:v>Happy</c:v>
                </c:pt>
                <c:pt idx="1">
                  <c:v>Neutral</c:v>
                </c:pt>
                <c:pt idx="2">
                  <c:v>Unhappy</c:v>
                </c:pt>
                <c:pt idx="3">
                  <c:v>I do not need support</c:v>
                </c:pt>
                <c:pt idx="4">
                  <c:v>.</c:v>
                </c:pt>
                <c:pt idx="5">
                  <c:v>.</c:v>
                </c:pt>
                <c:pt idx="6">
                  <c:v>.</c:v>
                </c:pt>
                <c:pt idx="7">
                  <c:v>.</c:v>
                </c:pt>
                <c:pt idx="8">
                  <c:v>.</c:v>
                </c:pt>
              </c:strCache>
            </c:strRef>
          </c:cat>
          <c:val>
            <c:numRef>
              <c:f>'Condition A'!$D$553:$D$561</c:f>
              <c:numCache>
                <c:formatCode>0.0</c:formatCode>
                <c:ptCount val="9"/>
                <c:pt idx="0">
                  <c:v>0</c:v>
                </c:pt>
                <c:pt idx="1">
                  <c:v>0</c:v>
                </c:pt>
                <c:pt idx="2">
                  <c:v>0</c:v>
                </c:pt>
                <c:pt idx="3">
                  <c:v>0</c:v>
                </c:pt>
                <c:pt idx="4">
                  <c:v>0</c:v>
                </c:pt>
                <c:pt idx="5">
                  <c:v>0</c:v>
                </c:pt>
                <c:pt idx="6">
                  <c:v>0</c:v>
                </c:pt>
                <c:pt idx="7">
                  <c:v>0</c:v>
                </c:pt>
                <c:pt idx="8">
                  <c:v>0</c:v>
                </c:pt>
              </c:numCache>
            </c:numRef>
          </c:val>
        </c:ser>
        <c:axId val="86681088"/>
        <c:axId val="86682624"/>
      </c:barChart>
      <c:catAx>
        <c:axId val="86681088"/>
        <c:scaling>
          <c:orientation val="minMax"/>
        </c:scaling>
        <c:axPos val="b"/>
        <c:numFmt formatCode="General" sourceLinked="1"/>
        <c:majorTickMark val="none"/>
        <c:tickLblPos val="nextTo"/>
        <c:crossAx val="86682624"/>
        <c:crosses val="autoZero"/>
        <c:auto val="1"/>
        <c:lblAlgn val="ctr"/>
        <c:lblOffset val="100"/>
      </c:catAx>
      <c:valAx>
        <c:axId val="86682624"/>
        <c:scaling>
          <c:orientation val="minMax"/>
          <c:max val="100"/>
        </c:scaling>
        <c:axPos val="l"/>
        <c:majorGridlines/>
        <c:numFmt formatCode="0.0" sourceLinked="1"/>
        <c:majorTickMark val="none"/>
        <c:tickLblPos val="nextTo"/>
        <c:crossAx val="86681088"/>
        <c:crosses val="autoZero"/>
        <c:crossBetween val="between"/>
      </c:valAx>
    </c:plotArea>
    <c:plotVisOnly val="1"/>
    <c:dispBlanksAs val="gap"/>
  </c:chart>
  <c:printSettings>
    <c:headerFooter/>
    <c:pageMargins b="0.75000000000001155" l="0.70000000000000062" r="0.70000000000000062" t="0.75000000000001155"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IE"/>
  <c:chart>
    <c:title>
      <c:tx>
        <c:strRef>
          <c:f>'Condition A'!$A$566</c:f>
          <c:strCache>
            <c:ptCount val="1"/>
            <c:pt idx="0">
              <c:v>Washing?</c:v>
            </c:pt>
          </c:strCache>
        </c:strRef>
      </c:tx>
    </c:title>
    <c:plotArea>
      <c:layout/>
      <c:barChart>
        <c:barDir val="col"/>
        <c:grouping val="clustered"/>
        <c:ser>
          <c:idx val="0"/>
          <c:order val="0"/>
          <c:dLbls>
            <c:showVal val="1"/>
          </c:dLbls>
          <c:cat>
            <c:strRef>
              <c:f>'Condition A'!$A$568:$A$576</c:f>
              <c:strCache>
                <c:ptCount val="9"/>
                <c:pt idx="0">
                  <c:v>Happy</c:v>
                </c:pt>
                <c:pt idx="1">
                  <c:v>Neutral</c:v>
                </c:pt>
                <c:pt idx="2">
                  <c:v>Unhappy</c:v>
                </c:pt>
                <c:pt idx="3">
                  <c:v>I do not need support</c:v>
                </c:pt>
                <c:pt idx="4">
                  <c:v>.</c:v>
                </c:pt>
                <c:pt idx="5">
                  <c:v>.</c:v>
                </c:pt>
                <c:pt idx="6">
                  <c:v>.</c:v>
                </c:pt>
                <c:pt idx="7">
                  <c:v>.</c:v>
                </c:pt>
                <c:pt idx="8">
                  <c:v>.</c:v>
                </c:pt>
              </c:strCache>
            </c:strRef>
          </c:cat>
          <c:val>
            <c:numRef>
              <c:f>'Condition A'!$D$568:$D$576</c:f>
              <c:numCache>
                <c:formatCode>0.0</c:formatCode>
                <c:ptCount val="9"/>
                <c:pt idx="0">
                  <c:v>0</c:v>
                </c:pt>
                <c:pt idx="1">
                  <c:v>0</c:v>
                </c:pt>
                <c:pt idx="2">
                  <c:v>0</c:v>
                </c:pt>
                <c:pt idx="3">
                  <c:v>0</c:v>
                </c:pt>
                <c:pt idx="4">
                  <c:v>0</c:v>
                </c:pt>
                <c:pt idx="5">
                  <c:v>0</c:v>
                </c:pt>
                <c:pt idx="6">
                  <c:v>0</c:v>
                </c:pt>
                <c:pt idx="7">
                  <c:v>0</c:v>
                </c:pt>
                <c:pt idx="8">
                  <c:v>0</c:v>
                </c:pt>
              </c:numCache>
            </c:numRef>
          </c:val>
        </c:ser>
        <c:axId val="86694528"/>
        <c:axId val="86708608"/>
      </c:barChart>
      <c:catAx>
        <c:axId val="86694528"/>
        <c:scaling>
          <c:orientation val="minMax"/>
        </c:scaling>
        <c:axPos val="b"/>
        <c:numFmt formatCode="General" sourceLinked="1"/>
        <c:majorTickMark val="none"/>
        <c:tickLblPos val="nextTo"/>
        <c:crossAx val="86708608"/>
        <c:crosses val="autoZero"/>
        <c:auto val="1"/>
        <c:lblAlgn val="ctr"/>
        <c:lblOffset val="100"/>
      </c:catAx>
      <c:valAx>
        <c:axId val="86708608"/>
        <c:scaling>
          <c:orientation val="minMax"/>
          <c:max val="100"/>
        </c:scaling>
        <c:axPos val="l"/>
        <c:majorGridlines/>
        <c:numFmt formatCode="0.0" sourceLinked="1"/>
        <c:majorTickMark val="none"/>
        <c:tickLblPos val="nextTo"/>
        <c:crossAx val="86694528"/>
        <c:crosses val="autoZero"/>
        <c:crossBetween val="between"/>
      </c:valAx>
    </c:plotArea>
    <c:plotVisOnly val="1"/>
    <c:dispBlanksAs val="gap"/>
  </c:chart>
  <c:printSettings>
    <c:headerFooter/>
    <c:pageMargins b="0.75000000000001177" l="0.70000000000000062" r="0.70000000000000062" t="0.75000000000001177"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IE"/>
  <c:chart>
    <c:title>
      <c:tx>
        <c:strRef>
          <c:f>'Condition A'!$A$581</c:f>
          <c:strCache>
            <c:ptCount val="1"/>
            <c:pt idx="0">
              <c:v>Eating or drinking?</c:v>
            </c:pt>
          </c:strCache>
        </c:strRef>
      </c:tx>
    </c:title>
    <c:plotArea>
      <c:layout/>
      <c:barChart>
        <c:barDir val="col"/>
        <c:grouping val="clustered"/>
        <c:ser>
          <c:idx val="0"/>
          <c:order val="0"/>
          <c:dLbls>
            <c:showVal val="1"/>
          </c:dLbls>
          <c:cat>
            <c:strRef>
              <c:f>'Condition A'!$A$583:$A$591</c:f>
              <c:strCache>
                <c:ptCount val="9"/>
                <c:pt idx="0">
                  <c:v>Happy</c:v>
                </c:pt>
                <c:pt idx="1">
                  <c:v>Neutral</c:v>
                </c:pt>
                <c:pt idx="2">
                  <c:v>Unhappy</c:v>
                </c:pt>
                <c:pt idx="3">
                  <c:v>I do not need support</c:v>
                </c:pt>
                <c:pt idx="4">
                  <c:v>.</c:v>
                </c:pt>
                <c:pt idx="5">
                  <c:v>.</c:v>
                </c:pt>
                <c:pt idx="6">
                  <c:v>.</c:v>
                </c:pt>
                <c:pt idx="7">
                  <c:v>.</c:v>
                </c:pt>
                <c:pt idx="8">
                  <c:v>.</c:v>
                </c:pt>
              </c:strCache>
            </c:strRef>
          </c:cat>
          <c:val>
            <c:numRef>
              <c:f>'Condition A'!$D$583:$D$591</c:f>
              <c:numCache>
                <c:formatCode>0.0</c:formatCode>
                <c:ptCount val="9"/>
                <c:pt idx="0">
                  <c:v>0</c:v>
                </c:pt>
                <c:pt idx="1">
                  <c:v>0</c:v>
                </c:pt>
                <c:pt idx="2">
                  <c:v>0</c:v>
                </c:pt>
                <c:pt idx="3">
                  <c:v>0</c:v>
                </c:pt>
                <c:pt idx="4">
                  <c:v>0</c:v>
                </c:pt>
                <c:pt idx="5">
                  <c:v>0</c:v>
                </c:pt>
                <c:pt idx="6">
                  <c:v>0</c:v>
                </c:pt>
                <c:pt idx="7">
                  <c:v>0</c:v>
                </c:pt>
                <c:pt idx="8">
                  <c:v>0</c:v>
                </c:pt>
              </c:numCache>
            </c:numRef>
          </c:val>
        </c:ser>
        <c:axId val="86732800"/>
        <c:axId val="86734336"/>
      </c:barChart>
      <c:catAx>
        <c:axId val="86732800"/>
        <c:scaling>
          <c:orientation val="minMax"/>
        </c:scaling>
        <c:axPos val="b"/>
        <c:numFmt formatCode="General" sourceLinked="1"/>
        <c:majorTickMark val="none"/>
        <c:tickLblPos val="nextTo"/>
        <c:crossAx val="86734336"/>
        <c:crosses val="autoZero"/>
        <c:auto val="1"/>
        <c:lblAlgn val="ctr"/>
        <c:lblOffset val="100"/>
      </c:catAx>
      <c:valAx>
        <c:axId val="86734336"/>
        <c:scaling>
          <c:orientation val="minMax"/>
          <c:max val="100"/>
        </c:scaling>
        <c:axPos val="l"/>
        <c:majorGridlines/>
        <c:numFmt formatCode="0.0" sourceLinked="1"/>
        <c:majorTickMark val="none"/>
        <c:tickLblPos val="nextTo"/>
        <c:crossAx val="86732800"/>
        <c:crosses val="autoZero"/>
        <c:crossBetween val="between"/>
      </c:valAx>
    </c:plotArea>
    <c:plotVisOnly val="1"/>
    <c:dispBlanksAs val="gap"/>
  </c:chart>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55.xml"/><Relationship Id="rId13" Type="http://schemas.openxmlformats.org/officeDocument/2006/relationships/chart" Target="../charts/chart60.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73.xml"/><Relationship Id="rId18" Type="http://schemas.openxmlformats.org/officeDocument/2006/relationships/chart" Target="../charts/chart78.xml"/><Relationship Id="rId26" Type="http://schemas.openxmlformats.org/officeDocument/2006/relationships/chart" Target="../charts/chart86.xml"/><Relationship Id="rId39" Type="http://schemas.openxmlformats.org/officeDocument/2006/relationships/chart" Target="../charts/chart99.xml"/><Relationship Id="rId21" Type="http://schemas.openxmlformats.org/officeDocument/2006/relationships/chart" Target="../charts/chart81.xml"/><Relationship Id="rId34" Type="http://schemas.openxmlformats.org/officeDocument/2006/relationships/chart" Target="../charts/chart94.xml"/><Relationship Id="rId42" Type="http://schemas.openxmlformats.org/officeDocument/2006/relationships/chart" Target="../charts/chart102.xml"/><Relationship Id="rId47" Type="http://schemas.openxmlformats.org/officeDocument/2006/relationships/chart" Target="../charts/chart107.xml"/><Relationship Id="rId50" Type="http://schemas.openxmlformats.org/officeDocument/2006/relationships/chart" Target="../charts/chart110.xml"/><Relationship Id="rId55" Type="http://schemas.openxmlformats.org/officeDocument/2006/relationships/chart" Target="../charts/chart115.xml"/><Relationship Id="rId7" Type="http://schemas.openxmlformats.org/officeDocument/2006/relationships/chart" Target="../charts/chart67.xml"/><Relationship Id="rId2" Type="http://schemas.openxmlformats.org/officeDocument/2006/relationships/chart" Target="../charts/chart62.xml"/><Relationship Id="rId16" Type="http://schemas.openxmlformats.org/officeDocument/2006/relationships/chart" Target="../charts/chart76.xml"/><Relationship Id="rId20" Type="http://schemas.openxmlformats.org/officeDocument/2006/relationships/chart" Target="../charts/chart80.xml"/><Relationship Id="rId29" Type="http://schemas.openxmlformats.org/officeDocument/2006/relationships/chart" Target="../charts/chart89.xml"/><Relationship Id="rId41" Type="http://schemas.openxmlformats.org/officeDocument/2006/relationships/chart" Target="../charts/chart101.xml"/><Relationship Id="rId54" Type="http://schemas.openxmlformats.org/officeDocument/2006/relationships/chart" Target="../charts/chart114.xml"/><Relationship Id="rId62" Type="http://schemas.openxmlformats.org/officeDocument/2006/relationships/chart" Target="../charts/chart122.xml"/><Relationship Id="rId1" Type="http://schemas.openxmlformats.org/officeDocument/2006/relationships/chart" Target="../charts/chart61.xml"/><Relationship Id="rId6" Type="http://schemas.openxmlformats.org/officeDocument/2006/relationships/chart" Target="../charts/chart66.xml"/><Relationship Id="rId11" Type="http://schemas.openxmlformats.org/officeDocument/2006/relationships/chart" Target="../charts/chart71.xml"/><Relationship Id="rId24" Type="http://schemas.openxmlformats.org/officeDocument/2006/relationships/chart" Target="../charts/chart84.xml"/><Relationship Id="rId32" Type="http://schemas.openxmlformats.org/officeDocument/2006/relationships/chart" Target="../charts/chart92.xml"/><Relationship Id="rId37" Type="http://schemas.openxmlformats.org/officeDocument/2006/relationships/chart" Target="../charts/chart97.xml"/><Relationship Id="rId40" Type="http://schemas.openxmlformats.org/officeDocument/2006/relationships/chart" Target="../charts/chart100.xml"/><Relationship Id="rId45" Type="http://schemas.openxmlformats.org/officeDocument/2006/relationships/chart" Target="../charts/chart105.xml"/><Relationship Id="rId53" Type="http://schemas.openxmlformats.org/officeDocument/2006/relationships/chart" Target="../charts/chart113.xml"/><Relationship Id="rId58" Type="http://schemas.openxmlformats.org/officeDocument/2006/relationships/chart" Target="../charts/chart118.xml"/><Relationship Id="rId5" Type="http://schemas.openxmlformats.org/officeDocument/2006/relationships/chart" Target="../charts/chart65.xml"/><Relationship Id="rId15" Type="http://schemas.openxmlformats.org/officeDocument/2006/relationships/chart" Target="../charts/chart75.xml"/><Relationship Id="rId23" Type="http://schemas.openxmlformats.org/officeDocument/2006/relationships/chart" Target="../charts/chart83.xml"/><Relationship Id="rId28" Type="http://schemas.openxmlformats.org/officeDocument/2006/relationships/chart" Target="../charts/chart88.xml"/><Relationship Id="rId36" Type="http://schemas.openxmlformats.org/officeDocument/2006/relationships/chart" Target="../charts/chart96.xml"/><Relationship Id="rId49" Type="http://schemas.openxmlformats.org/officeDocument/2006/relationships/chart" Target="../charts/chart109.xml"/><Relationship Id="rId57" Type="http://schemas.openxmlformats.org/officeDocument/2006/relationships/chart" Target="../charts/chart117.xml"/><Relationship Id="rId61" Type="http://schemas.openxmlformats.org/officeDocument/2006/relationships/chart" Target="../charts/chart121.xml"/><Relationship Id="rId10" Type="http://schemas.openxmlformats.org/officeDocument/2006/relationships/chart" Target="../charts/chart70.xml"/><Relationship Id="rId19" Type="http://schemas.openxmlformats.org/officeDocument/2006/relationships/chart" Target="../charts/chart79.xml"/><Relationship Id="rId31" Type="http://schemas.openxmlformats.org/officeDocument/2006/relationships/chart" Target="../charts/chart91.xml"/><Relationship Id="rId44" Type="http://schemas.openxmlformats.org/officeDocument/2006/relationships/chart" Target="../charts/chart104.xml"/><Relationship Id="rId52" Type="http://schemas.openxmlformats.org/officeDocument/2006/relationships/chart" Target="../charts/chart112.xml"/><Relationship Id="rId60" Type="http://schemas.openxmlformats.org/officeDocument/2006/relationships/chart" Target="../charts/chart120.xml"/><Relationship Id="rId4" Type="http://schemas.openxmlformats.org/officeDocument/2006/relationships/chart" Target="../charts/chart64.xml"/><Relationship Id="rId9" Type="http://schemas.openxmlformats.org/officeDocument/2006/relationships/chart" Target="../charts/chart69.xml"/><Relationship Id="rId14" Type="http://schemas.openxmlformats.org/officeDocument/2006/relationships/chart" Target="../charts/chart74.xml"/><Relationship Id="rId22" Type="http://schemas.openxmlformats.org/officeDocument/2006/relationships/chart" Target="../charts/chart82.xml"/><Relationship Id="rId27" Type="http://schemas.openxmlformats.org/officeDocument/2006/relationships/chart" Target="../charts/chart87.xml"/><Relationship Id="rId30" Type="http://schemas.openxmlformats.org/officeDocument/2006/relationships/chart" Target="../charts/chart90.xml"/><Relationship Id="rId35" Type="http://schemas.openxmlformats.org/officeDocument/2006/relationships/chart" Target="../charts/chart95.xml"/><Relationship Id="rId43" Type="http://schemas.openxmlformats.org/officeDocument/2006/relationships/chart" Target="../charts/chart103.xml"/><Relationship Id="rId48" Type="http://schemas.openxmlformats.org/officeDocument/2006/relationships/chart" Target="../charts/chart108.xml"/><Relationship Id="rId56" Type="http://schemas.openxmlformats.org/officeDocument/2006/relationships/chart" Target="../charts/chart116.xml"/><Relationship Id="rId8" Type="http://schemas.openxmlformats.org/officeDocument/2006/relationships/chart" Target="../charts/chart68.xml"/><Relationship Id="rId51" Type="http://schemas.openxmlformats.org/officeDocument/2006/relationships/chart" Target="../charts/chart111.xml"/><Relationship Id="rId3" Type="http://schemas.openxmlformats.org/officeDocument/2006/relationships/chart" Target="../charts/chart63.xml"/><Relationship Id="rId12" Type="http://schemas.openxmlformats.org/officeDocument/2006/relationships/chart" Target="../charts/chart72.xml"/><Relationship Id="rId17" Type="http://schemas.openxmlformats.org/officeDocument/2006/relationships/chart" Target="../charts/chart77.xml"/><Relationship Id="rId25" Type="http://schemas.openxmlformats.org/officeDocument/2006/relationships/chart" Target="../charts/chart85.xml"/><Relationship Id="rId33" Type="http://schemas.openxmlformats.org/officeDocument/2006/relationships/chart" Target="../charts/chart93.xml"/><Relationship Id="rId38" Type="http://schemas.openxmlformats.org/officeDocument/2006/relationships/chart" Target="../charts/chart98.xml"/><Relationship Id="rId46" Type="http://schemas.openxmlformats.org/officeDocument/2006/relationships/chart" Target="../charts/chart106.xml"/><Relationship Id="rId59" Type="http://schemas.openxmlformats.org/officeDocument/2006/relationships/chart" Target="../charts/chart11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190502</xdr:colOff>
      <xdr:row>7</xdr:row>
      <xdr:rowOff>152399</xdr:rowOff>
    </xdr:from>
    <xdr:to>
      <xdr:col>3</xdr:col>
      <xdr:colOff>1247102</xdr:colOff>
      <xdr:row>20</xdr:row>
      <xdr:rowOff>15899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21</xdr:row>
      <xdr:rowOff>57148</xdr:rowOff>
    </xdr:from>
    <xdr:to>
      <xdr:col>3</xdr:col>
      <xdr:colOff>1237575</xdr:colOff>
      <xdr:row>33</xdr:row>
      <xdr:rowOff>111148</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35</xdr:row>
      <xdr:rowOff>133349</xdr:rowOff>
    </xdr:from>
    <xdr:to>
      <xdr:col>3</xdr:col>
      <xdr:colOff>1218525</xdr:colOff>
      <xdr:row>47</xdr:row>
      <xdr:rowOff>187349</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49</xdr:row>
      <xdr:rowOff>152401</xdr:rowOff>
    </xdr:from>
    <xdr:to>
      <xdr:col>3</xdr:col>
      <xdr:colOff>1199475</xdr:colOff>
      <xdr:row>62</xdr:row>
      <xdr:rowOff>15901</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63</xdr:row>
      <xdr:rowOff>38100</xdr:rowOff>
    </xdr:from>
    <xdr:to>
      <xdr:col>3</xdr:col>
      <xdr:colOff>1151850</xdr:colOff>
      <xdr:row>75</xdr:row>
      <xdr:rowOff>92100</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76</xdr:row>
      <xdr:rowOff>76199</xdr:rowOff>
    </xdr:from>
    <xdr:to>
      <xdr:col>3</xdr:col>
      <xdr:colOff>1132800</xdr:colOff>
      <xdr:row>88</xdr:row>
      <xdr:rowOff>130199</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89</xdr:row>
      <xdr:rowOff>95250</xdr:rowOff>
    </xdr:from>
    <xdr:to>
      <xdr:col>3</xdr:col>
      <xdr:colOff>1094700</xdr:colOff>
      <xdr:row>101</xdr:row>
      <xdr:rowOff>149250</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102</xdr:row>
      <xdr:rowOff>152400</xdr:rowOff>
    </xdr:from>
    <xdr:to>
      <xdr:col>3</xdr:col>
      <xdr:colOff>1104225</xdr:colOff>
      <xdr:row>115</xdr:row>
      <xdr:rowOff>15900</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3</xdr:col>
      <xdr:colOff>1056600</xdr:colOff>
      <xdr:row>129</xdr:row>
      <xdr:rowOff>54000</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66675</xdr:colOff>
      <xdr:row>130</xdr:row>
      <xdr:rowOff>28574</xdr:rowOff>
    </xdr:from>
    <xdr:to>
      <xdr:col>3</xdr:col>
      <xdr:colOff>1123275</xdr:colOff>
      <xdr:row>142</xdr:row>
      <xdr:rowOff>82574</xdr:rowOff>
    </xdr:to>
    <xdr:graphicFrame macro="">
      <xdr:nvGraphicFramePr>
        <xdr:cNvPr id="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76200</xdr:colOff>
      <xdr:row>145</xdr:row>
      <xdr:rowOff>38100</xdr:rowOff>
    </xdr:from>
    <xdr:to>
      <xdr:col>3</xdr:col>
      <xdr:colOff>1132800</xdr:colOff>
      <xdr:row>157</xdr:row>
      <xdr:rowOff>92100</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85725</xdr:colOff>
      <xdr:row>160</xdr:row>
      <xdr:rowOff>152400</xdr:rowOff>
    </xdr:from>
    <xdr:to>
      <xdr:col>3</xdr:col>
      <xdr:colOff>1142325</xdr:colOff>
      <xdr:row>173</xdr:row>
      <xdr:rowOff>15900</xdr:rowOff>
    </xdr:to>
    <xdr:graphicFrame macro="">
      <xdr:nvGraphicFramePr>
        <xdr:cNvPr id="6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175</xdr:row>
      <xdr:rowOff>171450</xdr:rowOff>
    </xdr:from>
    <xdr:to>
      <xdr:col>3</xdr:col>
      <xdr:colOff>1123275</xdr:colOff>
      <xdr:row>188</xdr:row>
      <xdr:rowOff>34950</xdr:rowOff>
    </xdr:to>
    <xdr:graphicFrame macro="">
      <xdr:nvGraphicFramePr>
        <xdr:cNvPr id="62"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95250</xdr:colOff>
      <xdr:row>189</xdr:row>
      <xdr:rowOff>180975</xdr:rowOff>
    </xdr:from>
    <xdr:to>
      <xdr:col>3</xdr:col>
      <xdr:colOff>1151850</xdr:colOff>
      <xdr:row>202</xdr:row>
      <xdr:rowOff>44475</xdr:rowOff>
    </xdr:to>
    <xdr:graphicFrame macro="">
      <xdr:nvGraphicFramePr>
        <xdr:cNvPr id="6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95250</xdr:colOff>
      <xdr:row>205</xdr:row>
      <xdr:rowOff>19049</xdr:rowOff>
    </xdr:from>
    <xdr:to>
      <xdr:col>3</xdr:col>
      <xdr:colOff>1151850</xdr:colOff>
      <xdr:row>217</xdr:row>
      <xdr:rowOff>73049</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133350</xdr:colOff>
      <xdr:row>219</xdr:row>
      <xdr:rowOff>38100</xdr:rowOff>
    </xdr:from>
    <xdr:to>
      <xdr:col>3</xdr:col>
      <xdr:colOff>1189950</xdr:colOff>
      <xdr:row>231</xdr:row>
      <xdr:rowOff>92100</xdr:rowOff>
    </xdr:to>
    <xdr:graphicFrame macro="">
      <xdr:nvGraphicFramePr>
        <xdr:cNvPr id="6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95250</xdr:colOff>
      <xdr:row>233</xdr:row>
      <xdr:rowOff>161924</xdr:rowOff>
    </xdr:from>
    <xdr:to>
      <xdr:col>3</xdr:col>
      <xdr:colOff>1151850</xdr:colOff>
      <xdr:row>246</xdr:row>
      <xdr:rowOff>25424</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85725</xdr:colOff>
      <xdr:row>248</xdr:row>
      <xdr:rowOff>9525</xdr:rowOff>
    </xdr:from>
    <xdr:to>
      <xdr:col>3</xdr:col>
      <xdr:colOff>1142325</xdr:colOff>
      <xdr:row>260</xdr:row>
      <xdr:rowOff>63525</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261</xdr:row>
      <xdr:rowOff>133350</xdr:rowOff>
    </xdr:from>
    <xdr:to>
      <xdr:col>3</xdr:col>
      <xdr:colOff>1209000</xdr:colOff>
      <xdr:row>273</xdr:row>
      <xdr:rowOff>187350</xdr:rowOff>
    </xdr:to>
    <xdr:graphicFrame macro="">
      <xdr:nvGraphicFramePr>
        <xdr:cNvPr id="68"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95250</xdr:colOff>
      <xdr:row>275</xdr:row>
      <xdr:rowOff>85725</xdr:rowOff>
    </xdr:from>
    <xdr:to>
      <xdr:col>3</xdr:col>
      <xdr:colOff>1151850</xdr:colOff>
      <xdr:row>287</xdr:row>
      <xdr:rowOff>139725</xdr:rowOff>
    </xdr:to>
    <xdr:graphicFrame macro="">
      <xdr:nvGraphicFramePr>
        <xdr:cNvPr id="69"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95251</xdr:colOff>
      <xdr:row>290</xdr:row>
      <xdr:rowOff>9525</xdr:rowOff>
    </xdr:from>
    <xdr:to>
      <xdr:col>3</xdr:col>
      <xdr:colOff>1151851</xdr:colOff>
      <xdr:row>302</xdr:row>
      <xdr:rowOff>63525</xdr:rowOff>
    </xdr:to>
    <xdr:graphicFrame macro="">
      <xdr:nvGraphicFramePr>
        <xdr:cNvPr id="70"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104775</xdr:colOff>
      <xdr:row>303</xdr:row>
      <xdr:rowOff>104775</xdr:rowOff>
    </xdr:from>
    <xdr:to>
      <xdr:col>3</xdr:col>
      <xdr:colOff>1161375</xdr:colOff>
      <xdr:row>315</xdr:row>
      <xdr:rowOff>158775</xdr:rowOff>
    </xdr:to>
    <xdr:graphicFrame macro="">
      <xdr:nvGraphicFramePr>
        <xdr:cNvPr id="71"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200025</xdr:colOff>
      <xdr:row>318</xdr:row>
      <xdr:rowOff>0</xdr:rowOff>
    </xdr:from>
    <xdr:to>
      <xdr:col>3</xdr:col>
      <xdr:colOff>1256625</xdr:colOff>
      <xdr:row>330</xdr:row>
      <xdr:rowOff>54000</xdr:rowOff>
    </xdr:to>
    <xdr:graphicFrame macro="">
      <xdr:nvGraphicFramePr>
        <xdr:cNvPr id="72"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331</xdr:row>
      <xdr:rowOff>114299</xdr:rowOff>
    </xdr:from>
    <xdr:to>
      <xdr:col>3</xdr:col>
      <xdr:colOff>1056600</xdr:colOff>
      <xdr:row>343</xdr:row>
      <xdr:rowOff>168299</xdr:rowOff>
    </xdr:to>
    <xdr:graphicFrame macro="">
      <xdr:nvGraphicFramePr>
        <xdr:cNvPr id="73"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346</xdr:row>
      <xdr:rowOff>0</xdr:rowOff>
    </xdr:from>
    <xdr:to>
      <xdr:col>3</xdr:col>
      <xdr:colOff>1056600</xdr:colOff>
      <xdr:row>358</xdr:row>
      <xdr:rowOff>54000</xdr:rowOff>
    </xdr:to>
    <xdr:graphicFrame macro="">
      <xdr:nvGraphicFramePr>
        <xdr:cNvPr id="74"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114300</xdr:colOff>
      <xdr:row>360</xdr:row>
      <xdr:rowOff>19049</xdr:rowOff>
    </xdr:from>
    <xdr:to>
      <xdr:col>3</xdr:col>
      <xdr:colOff>1170900</xdr:colOff>
      <xdr:row>372</xdr:row>
      <xdr:rowOff>73049</xdr:rowOff>
    </xdr:to>
    <xdr:graphicFrame macro="">
      <xdr:nvGraphicFramePr>
        <xdr:cNvPr id="75"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123825</xdr:colOff>
      <xdr:row>374</xdr:row>
      <xdr:rowOff>47624</xdr:rowOff>
    </xdr:from>
    <xdr:to>
      <xdr:col>3</xdr:col>
      <xdr:colOff>1180425</xdr:colOff>
      <xdr:row>386</xdr:row>
      <xdr:rowOff>101624</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85725</xdr:colOff>
      <xdr:row>388</xdr:row>
      <xdr:rowOff>9525</xdr:rowOff>
    </xdr:from>
    <xdr:to>
      <xdr:col>3</xdr:col>
      <xdr:colOff>1142325</xdr:colOff>
      <xdr:row>400</xdr:row>
      <xdr:rowOff>63525</xdr:rowOff>
    </xdr:to>
    <xdr:graphicFrame macro="">
      <xdr:nvGraphicFramePr>
        <xdr:cNvPr id="77"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104775</xdr:colOff>
      <xdr:row>402</xdr:row>
      <xdr:rowOff>38100</xdr:rowOff>
    </xdr:from>
    <xdr:to>
      <xdr:col>3</xdr:col>
      <xdr:colOff>1161375</xdr:colOff>
      <xdr:row>414</xdr:row>
      <xdr:rowOff>92100</xdr:rowOff>
    </xdr:to>
    <xdr:graphicFrame macro="">
      <xdr:nvGraphicFramePr>
        <xdr:cNvPr id="78"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85725</xdr:colOff>
      <xdr:row>416</xdr:row>
      <xdr:rowOff>28575</xdr:rowOff>
    </xdr:from>
    <xdr:to>
      <xdr:col>3</xdr:col>
      <xdr:colOff>1142325</xdr:colOff>
      <xdr:row>428</xdr:row>
      <xdr:rowOff>82575</xdr:rowOff>
    </xdr:to>
    <xdr:graphicFrame macro="">
      <xdr:nvGraphicFramePr>
        <xdr:cNvPr id="79"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104775</xdr:colOff>
      <xdr:row>430</xdr:row>
      <xdr:rowOff>152400</xdr:rowOff>
    </xdr:from>
    <xdr:to>
      <xdr:col>3</xdr:col>
      <xdr:colOff>1161375</xdr:colOff>
      <xdr:row>443</xdr:row>
      <xdr:rowOff>15900</xdr:rowOff>
    </xdr:to>
    <xdr:graphicFrame macro="">
      <xdr:nvGraphicFramePr>
        <xdr:cNvPr id="80"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85725</xdr:colOff>
      <xdr:row>445</xdr:row>
      <xdr:rowOff>19050</xdr:rowOff>
    </xdr:from>
    <xdr:to>
      <xdr:col>3</xdr:col>
      <xdr:colOff>1142325</xdr:colOff>
      <xdr:row>457</xdr:row>
      <xdr:rowOff>73050</xdr:rowOff>
    </xdr:to>
    <xdr:graphicFrame macro="">
      <xdr:nvGraphicFramePr>
        <xdr:cNvPr id="81"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152400</xdr:colOff>
      <xdr:row>459</xdr:row>
      <xdr:rowOff>0</xdr:rowOff>
    </xdr:from>
    <xdr:to>
      <xdr:col>3</xdr:col>
      <xdr:colOff>1209000</xdr:colOff>
      <xdr:row>471</xdr:row>
      <xdr:rowOff>54000</xdr:rowOff>
    </xdr:to>
    <xdr:graphicFrame macro="">
      <xdr:nvGraphicFramePr>
        <xdr:cNvPr id="82"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104775</xdr:colOff>
      <xdr:row>473</xdr:row>
      <xdr:rowOff>0</xdr:rowOff>
    </xdr:from>
    <xdr:to>
      <xdr:col>3</xdr:col>
      <xdr:colOff>1161375</xdr:colOff>
      <xdr:row>485</xdr:row>
      <xdr:rowOff>54000</xdr:rowOff>
    </xdr:to>
    <xdr:graphicFrame macro="">
      <xdr:nvGraphicFramePr>
        <xdr:cNvPr id="83"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76200</xdr:colOff>
      <xdr:row>487</xdr:row>
      <xdr:rowOff>7620</xdr:rowOff>
    </xdr:from>
    <xdr:to>
      <xdr:col>3</xdr:col>
      <xdr:colOff>1132800</xdr:colOff>
      <xdr:row>499</xdr:row>
      <xdr:rowOff>61620</xdr:rowOff>
    </xdr:to>
    <xdr:graphicFrame macro="">
      <xdr:nvGraphicFramePr>
        <xdr:cNvPr id="84"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129540</xdr:colOff>
      <xdr:row>500</xdr:row>
      <xdr:rowOff>167640</xdr:rowOff>
    </xdr:from>
    <xdr:to>
      <xdr:col>3</xdr:col>
      <xdr:colOff>1186140</xdr:colOff>
      <xdr:row>513</xdr:row>
      <xdr:rowOff>31140</xdr:rowOff>
    </xdr:to>
    <xdr:graphicFrame macro="">
      <xdr:nvGraphicFramePr>
        <xdr:cNvPr id="85" name="Chart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144780</xdr:colOff>
      <xdr:row>515</xdr:row>
      <xdr:rowOff>15240</xdr:rowOff>
    </xdr:from>
    <xdr:to>
      <xdr:col>3</xdr:col>
      <xdr:colOff>1201380</xdr:colOff>
      <xdr:row>527</xdr:row>
      <xdr:rowOff>69240</xdr:rowOff>
    </xdr:to>
    <xdr:graphicFrame macro="">
      <xdr:nvGraphicFramePr>
        <xdr:cNvPr id="86"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152400</xdr:colOff>
      <xdr:row>529</xdr:row>
      <xdr:rowOff>7620</xdr:rowOff>
    </xdr:from>
    <xdr:to>
      <xdr:col>3</xdr:col>
      <xdr:colOff>1209000</xdr:colOff>
      <xdr:row>541</xdr:row>
      <xdr:rowOff>61620</xdr:rowOff>
    </xdr:to>
    <xdr:graphicFrame macro="">
      <xdr:nvGraphicFramePr>
        <xdr:cNvPr id="87"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182880</xdr:colOff>
      <xdr:row>543</xdr:row>
      <xdr:rowOff>7620</xdr:rowOff>
    </xdr:from>
    <xdr:to>
      <xdr:col>3</xdr:col>
      <xdr:colOff>1239480</xdr:colOff>
      <xdr:row>555</xdr:row>
      <xdr:rowOff>61620</xdr:rowOff>
    </xdr:to>
    <xdr:graphicFrame macro="">
      <xdr:nvGraphicFramePr>
        <xdr:cNvPr id="88"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68580</xdr:colOff>
      <xdr:row>557</xdr:row>
      <xdr:rowOff>7620</xdr:rowOff>
    </xdr:from>
    <xdr:to>
      <xdr:col>3</xdr:col>
      <xdr:colOff>1125180</xdr:colOff>
      <xdr:row>569</xdr:row>
      <xdr:rowOff>61620</xdr:rowOff>
    </xdr:to>
    <xdr:graphicFrame macro="">
      <xdr:nvGraphicFramePr>
        <xdr:cNvPr id="89"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137160</xdr:colOff>
      <xdr:row>570</xdr:row>
      <xdr:rowOff>160020</xdr:rowOff>
    </xdr:from>
    <xdr:to>
      <xdr:col>3</xdr:col>
      <xdr:colOff>1193760</xdr:colOff>
      <xdr:row>583</xdr:row>
      <xdr:rowOff>23520</xdr:rowOff>
    </xdr:to>
    <xdr:graphicFrame macro="">
      <xdr:nvGraphicFramePr>
        <xdr:cNvPr id="90"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76200</xdr:colOff>
      <xdr:row>585</xdr:row>
      <xdr:rowOff>0</xdr:rowOff>
    </xdr:from>
    <xdr:to>
      <xdr:col>3</xdr:col>
      <xdr:colOff>1132800</xdr:colOff>
      <xdr:row>597</xdr:row>
      <xdr:rowOff>54000</xdr:rowOff>
    </xdr:to>
    <xdr:graphicFrame macro="">
      <xdr:nvGraphicFramePr>
        <xdr:cNvPr id="9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99060</xdr:colOff>
      <xdr:row>599</xdr:row>
      <xdr:rowOff>30480</xdr:rowOff>
    </xdr:from>
    <xdr:to>
      <xdr:col>3</xdr:col>
      <xdr:colOff>1155660</xdr:colOff>
      <xdr:row>611</xdr:row>
      <xdr:rowOff>84480</xdr:rowOff>
    </xdr:to>
    <xdr:graphicFrame macro="">
      <xdr:nvGraphicFramePr>
        <xdr:cNvPr id="92" name="Chart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220980</xdr:colOff>
      <xdr:row>612</xdr:row>
      <xdr:rowOff>175260</xdr:rowOff>
    </xdr:from>
    <xdr:to>
      <xdr:col>3</xdr:col>
      <xdr:colOff>1277580</xdr:colOff>
      <xdr:row>625</xdr:row>
      <xdr:rowOff>38760</xdr:rowOff>
    </xdr:to>
    <xdr:graphicFrame macro="">
      <xdr:nvGraphicFramePr>
        <xdr:cNvPr id="93" name="Chart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129540</xdr:colOff>
      <xdr:row>627</xdr:row>
      <xdr:rowOff>15240</xdr:rowOff>
    </xdr:from>
    <xdr:to>
      <xdr:col>3</xdr:col>
      <xdr:colOff>1186140</xdr:colOff>
      <xdr:row>639</xdr:row>
      <xdr:rowOff>69240</xdr:rowOff>
    </xdr:to>
    <xdr:graphicFrame macro="">
      <xdr:nvGraphicFramePr>
        <xdr:cNvPr id="94" name="Chart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137160</xdr:colOff>
      <xdr:row>641</xdr:row>
      <xdr:rowOff>0</xdr:rowOff>
    </xdr:from>
    <xdr:to>
      <xdr:col>3</xdr:col>
      <xdr:colOff>1193760</xdr:colOff>
      <xdr:row>653</xdr:row>
      <xdr:rowOff>54000</xdr:rowOff>
    </xdr:to>
    <xdr:graphicFrame macro="">
      <xdr:nvGraphicFramePr>
        <xdr:cNvPr id="95" name="Chart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236220</xdr:colOff>
      <xdr:row>654</xdr:row>
      <xdr:rowOff>167640</xdr:rowOff>
    </xdr:from>
    <xdr:to>
      <xdr:col>3</xdr:col>
      <xdr:colOff>1292820</xdr:colOff>
      <xdr:row>667</xdr:row>
      <xdr:rowOff>31140</xdr:rowOff>
    </xdr:to>
    <xdr:graphicFrame macro="">
      <xdr:nvGraphicFramePr>
        <xdr:cNvPr id="96" name="Chart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7</xdr:row>
      <xdr:rowOff>123825</xdr:rowOff>
    </xdr:from>
    <xdr:to>
      <xdr:col>3</xdr:col>
      <xdr:colOff>1292775</xdr:colOff>
      <xdr:row>22</xdr:row>
      <xdr:rowOff>146325</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129428</xdr:colOff>
      <xdr:row>23</xdr:row>
      <xdr:rowOff>28576</xdr:rowOff>
    </xdr:from>
    <xdr:to>
      <xdr:col>3</xdr:col>
      <xdr:colOff>1279328</xdr:colOff>
      <xdr:row>38</xdr:row>
      <xdr:rowOff>51076</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39</xdr:row>
      <xdr:rowOff>1</xdr:rowOff>
    </xdr:from>
    <xdr:to>
      <xdr:col>3</xdr:col>
      <xdr:colOff>1283250</xdr:colOff>
      <xdr:row>54</xdr:row>
      <xdr:rowOff>22501</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196850</xdr:colOff>
      <xdr:row>55</xdr:row>
      <xdr:rowOff>127001</xdr:rowOff>
    </xdr:from>
    <xdr:to>
      <xdr:col>3</xdr:col>
      <xdr:colOff>1346750</xdr:colOff>
      <xdr:row>70</xdr:row>
      <xdr:rowOff>149501</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177053</xdr:colOff>
      <xdr:row>71</xdr:row>
      <xdr:rowOff>95251</xdr:rowOff>
    </xdr:from>
    <xdr:to>
      <xdr:col>3</xdr:col>
      <xdr:colOff>1326953</xdr:colOff>
      <xdr:row>86</xdr:row>
      <xdr:rowOff>117751</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148478</xdr:colOff>
      <xdr:row>87</xdr:row>
      <xdr:rowOff>19051</xdr:rowOff>
    </xdr:from>
    <xdr:to>
      <xdr:col>3</xdr:col>
      <xdr:colOff>1298378</xdr:colOff>
      <xdr:row>102</xdr:row>
      <xdr:rowOff>41551</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167528</xdr:colOff>
      <xdr:row>103</xdr:row>
      <xdr:rowOff>152401</xdr:rowOff>
    </xdr:from>
    <xdr:to>
      <xdr:col>3</xdr:col>
      <xdr:colOff>1317428</xdr:colOff>
      <xdr:row>118</xdr:row>
      <xdr:rowOff>174901</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138953</xdr:colOff>
      <xdr:row>120</xdr:row>
      <xdr:rowOff>4483</xdr:rowOff>
    </xdr:from>
    <xdr:to>
      <xdr:col>3</xdr:col>
      <xdr:colOff>1288853</xdr:colOff>
      <xdr:row>135</xdr:row>
      <xdr:rowOff>26983</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167528</xdr:colOff>
      <xdr:row>136</xdr:row>
      <xdr:rowOff>28016</xdr:rowOff>
    </xdr:from>
    <xdr:to>
      <xdr:col>3</xdr:col>
      <xdr:colOff>1317428</xdr:colOff>
      <xdr:row>151</xdr:row>
      <xdr:rowOff>50516</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215153</xdr:colOff>
      <xdr:row>152</xdr:row>
      <xdr:rowOff>37541</xdr:rowOff>
    </xdr:from>
    <xdr:to>
      <xdr:col>3</xdr:col>
      <xdr:colOff>1365053</xdr:colOff>
      <xdr:row>167</xdr:row>
      <xdr:rowOff>60041</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182095</xdr:colOff>
      <xdr:row>168</xdr:row>
      <xdr:rowOff>94691</xdr:rowOff>
    </xdr:from>
    <xdr:to>
      <xdr:col>3</xdr:col>
      <xdr:colOff>1331995</xdr:colOff>
      <xdr:row>183</xdr:row>
      <xdr:rowOff>117191</xdr:rowOff>
    </xdr:to>
    <xdr:graphicFrame macro="">
      <xdr:nvGraphicFramePr>
        <xdr:cNvPr id="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143995</xdr:colOff>
      <xdr:row>185</xdr:row>
      <xdr:rowOff>47066</xdr:rowOff>
    </xdr:from>
    <xdr:to>
      <xdr:col>3</xdr:col>
      <xdr:colOff>1293895</xdr:colOff>
      <xdr:row>200</xdr:row>
      <xdr:rowOff>69566</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163045</xdr:colOff>
      <xdr:row>201</xdr:row>
      <xdr:rowOff>94691</xdr:rowOff>
    </xdr:from>
    <xdr:to>
      <xdr:col>3</xdr:col>
      <xdr:colOff>1312945</xdr:colOff>
      <xdr:row>216</xdr:row>
      <xdr:rowOff>117191</xdr:rowOff>
    </xdr:to>
    <xdr:graphicFrame macro="">
      <xdr:nvGraphicFramePr>
        <xdr:cNvPr id="6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180977</xdr:colOff>
      <xdr:row>943</xdr:row>
      <xdr:rowOff>123824</xdr:rowOff>
    </xdr:from>
    <xdr:to>
      <xdr:col>3</xdr:col>
      <xdr:colOff>990601</xdr:colOff>
      <xdr:row>959</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961</xdr:row>
      <xdr:rowOff>190499</xdr:rowOff>
    </xdr:from>
    <xdr:to>
      <xdr:col>3</xdr:col>
      <xdr:colOff>1209675</xdr:colOff>
      <xdr:row>974</xdr:row>
      <xdr:rowOff>66674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976</xdr:row>
      <xdr:rowOff>28574</xdr:rowOff>
    </xdr:from>
    <xdr:to>
      <xdr:col>3</xdr:col>
      <xdr:colOff>1190625</xdr:colOff>
      <xdr:row>993</xdr:row>
      <xdr:rowOff>19049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995</xdr:row>
      <xdr:rowOff>19051</xdr:rowOff>
    </xdr:from>
    <xdr:to>
      <xdr:col>3</xdr:col>
      <xdr:colOff>1209675</xdr:colOff>
      <xdr:row>1009</xdr:row>
      <xdr:rowOff>152401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1011</xdr:row>
      <xdr:rowOff>152400</xdr:rowOff>
    </xdr:from>
    <xdr:to>
      <xdr:col>3</xdr:col>
      <xdr:colOff>1181100</xdr:colOff>
      <xdr:row>1024</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114300</xdr:colOff>
      <xdr:row>1026</xdr:row>
      <xdr:rowOff>190499</xdr:rowOff>
    </xdr:from>
    <xdr:to>
      <xdr:col>3</xdr:col>
      <xdr:colOff>1143000</xdr:colOff>
      <xdr:row>1042</xdr:row>
      <xdr:rowOff>85724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123825</xdr:colOff>
      <xdr:row>1044</xdr:row>
      <xdr:rowOff>133350</xdr:rowOff>
    </xdr:from>
    <xdr:to>
      <xdr:col>3</xdr:col>
      <xdr:colOff>1209675</xdr:colOff>
      <xdr:row>1059</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85725</xdr:colOff>
      <xdr:row>1062</xdr:row>
      <xdr:rowOff>0</xdr:rowOff>
    </xdr:from>
    <xdr:to>
      <xdr:col>3</xdr:col>
      <xdr:colOff>1209675</xdr:colOff>
      <xdr:row>1075</xdr:row>
      <xdr:rowOff>114300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1077</xdr:row>
      <xdr:rowOff>0</xdr:rowOff>
    </xdr:from>
    <xdr:to>
      <xdr:col>3</xdr:col>
      <xdr:colOff>1238250</xdr:colOff>
      <xdr:row>1091</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66675</xdr:colOff>
      <xdr:row>1094</xdr:row>
      <xdr:rowOff>19049</xdr:rowOff>
    </xdr:from>
    <xdr:to>
      <xdr:col>3</xdr:col>
      <xdr:colOff>1171575</xdr:colOff>
      <xdr:row>1108</xdr:row>
      <xdr:rowOff>85725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76200</xdr:colOff>
      <xdr:row>1112</xdr:row>
      <xdr:rowOff>38100</xdr:rowOff>
    </xdr:from>
    <xdr:to>
      <xdr:col>3</xdr:col>
      <xdr:colOff>1181100</xdr:colOff>
      <xdr:row>1125</xdr:row>
      <xdr:rowOff>114300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85725</xdr:colOff>
      <xdr:row>1127</xdr:row>
      <xdr:rowOff>152400</xdr:rowOff>
    </xdr:from>
    <xdr:to>
      <xdr:col>3</xdr:col>
      <xdr:colOff>1162050</xdr:colOff>
      <xdr:row>1143</xdr:row>
      <xdr:rowOff>114300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1145</xdr:row>
      <xdr:rowOff>171450</xdr:rowOff>
    </xdr:from>
    <xdr:to>
      <xdr:col>3</xdr:col>
      <xdr:colOff>1285875</xdr:colOff>
      <xdr:row>1160</xdr:row>
      <xdr:rowOff>57150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95250</xdr:colOff>
      <xdr:row>1161</xdr:row>
      <xdr:rowOff>180975</xdr:rowOff>
    </xdr:from>
    <xdr:to>
      <xdr:col>3</xdr:col>
      <xdr:colOff>1190625</xdr:colOff>
      <xdr:row>1175</xdr:row>
      <xdr:rowOff>142875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95250</xdr:colOff>
      <xdr:row>1178</xdr:row>
      <xdr:rowOff>19049</xdr:rowOff>
    </xdr:from>
    <xdr:to>
      <xdr:col>3</xdr:col>
      <xdr:colOff>1181100</xdr:colOff>
      <xdr:row>1193</xdr:row>
      <xdr:rowOff>123824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133350</xdr:colOff>
      <xdr:row>1195</xdr:row>
      <xdr:rowOff>38100</xdr:rowOff>
    </xdr:from>
    <xdr:to>
      <xdr:col>3</xdr:col>
      <xdr:colOff>1133475</xdr:colOff>
      <xdr:row>1209</xdr:row>
      <xdr:rowOff>47625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95250</xdr:colOff>
      <xdr:row>1211</xdr:row>
      <xdr:rowOff>161924</xdr:rowOff>
    </xdr:from>
    <xdr:to>
      <xdr:col>3</xdr:col>
      <xdr:colOff>1181100</xdr:colOff>
      <xdr:row>1224</xdr:row>
      <xdr:rowOff>133349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85725</xdr:colOff>
      <xdr:row>1226</xdr:row>
      <xdr:rowOff>9525</xdr:rowOff>
    </xdr:from>
    <xdr:to>
      <xdr:col>3</xdr:col>
      <xdr:colOff>1200150</xdr:colOff>
      <xdr:row>1240</xdr:row>
      <xdr:rowOff>85725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1243</xdr:row>
      <xdr:rowOff>133350</xdr:rowOff>
    </xdr:from>
    <xdr:to>
      <xdr:col>3</xdr:col>
      <xdr:colOff>1133475</xdr:colOff>
      <xdr:row>1258</xdr:row>
      <xdr:rowOff>28575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95250</xdr:colOff>
      <xdr:row>1261</xdr:row>
      <xdr:rowOff>85725</xdr:rowOff>
    </xdr:from>
    <xdr:to>
      <xdr:col>3</xdr:col>
      <xdr:colOff>1209675</xdr:colOff>
      <xdr:row>1276</xdr:row>
      <xdr:rowOff>114300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95251</xdr:colOff>
      <xdr:row>1278</xdr:row>
      <xdr:rowOff>9525</xdr:rowOff>
    </xdr:from>
    <xdr:to>
      <xdr:col>3</xdr:col>
      <xdr:colOff>1085851</xdr:colOff>
      <xdr:row>1292</xdr:row>
      <xdr:rowOff>85725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104775</xdr:colOff>
      <xdr:row>1294</xdr:row>
      <xdr:rowOff>104775</xdr:rowOff>
    </xdr:from>
    <xdr:to>
      <xdr:col>3</xdr:col>
      <xdr:colOff>1181100</xdr:colOff>
      <xdr:row>1309</xdr:row>
      <xdr:rowOff>161925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200025</xdr:colOff>
      <xdr:row>1312</xdr:row>
      <xdr:rowOff>0</xdr:rowOff>
    </xdr:from>
    <xdr:to>
      <xdr:col>3</xdr:col>
      <xdr:colOff>1266825</xdr:colOff>
      <xdr:row>1326</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1327</xdr:row>
      <xdr:rowOff>114299</xdr:rowOff>
    </xdr:from>
    <xdr:to>
      <xdr:col>3</xdr:col>
      <xdr:colOff>1228725</xdr:colOff>
      <xdr:row>1341</xdr:row>
      <xdr:rowOff>161924</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1343</xdr:row>
      <xdr:rowOff>0</xdr:rowOff>
    </xdr:from>
    <xdr:to>
      <xdr:col>3</xdr:col>
      <xdr:colOff>1181100</xdr:colOff>
      <xdr:row>1360</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114300</xdr:colOff>
      <xdr:row>1362</xdr:row>
      <xdr:rowOff>19049</xdr:rowOff>
    </xdr:from>
    <xdr:to>
      <xdr:col>3</xdr:col>
      <xdr:colOff>1200150</xdr:colOff>
      <xdr:row>1376</xdr:row>
      <xdr:rowOff>9524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123825</xdr:colOff>
      <xdr:row>1377</xdr:row>
      <xdr:rowOff>47624</xdr:rowOff>
    </xdr:from>
    <xdr:to>
      <xdr:col>3</xdr:col>
      <xdr:colOff>1238250</xdr:colOff>
      <xdr:row>1391</xdr:row>
      <xdr:rowOff>95249</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85725</xdr:colOff>
      <xdr:row>1393</xdr:row>
      <xdr:rowOff>9525</xdr:rowOff>
    </xdr:from>
    <xdr:to>
      <xdr:col>3</xdr:col>
      <xdr:colOff>1095375</xdr:colOff>
      <xdr:row>1409</xdr:row>
      <xdr:rowOff>142875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104775</xdr:colOff>
      <xdr:row>1412</xdr:row>
      <xdr:rowOff>38100</xdr:rowOff>
    </xdr:from>
    <xdr:to>
      <xdr:col>3</xdr:col>
      <xdr:colOff>1114425</xdr:colOff>
      <xdr:row>1426</xdr:row>
      <xdr:rowOff>152400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85725</xdr:colOff>
      <xdr:row>1428</xdr:row>
      <xdr:rowOff>28575</xdr:rowOff>
    </xdr:from>
    <xdr:to>
      <xdr:col>3</xdr:col>
      <xdr:colOff>1123950</xdr:colOff>
      <xdr:row>1440</xdr:row>
      <xdr:rowOff>123825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104775</xdr:colOff>
      <xdr:row>1442</xdr:row>
      <xdr:rowOff>152400</xdr:rowOff>
    </xdr:from>
    <xdr:to>
      <xdr:col>3</xdr:col>
      <xdr:colOff>1181100</xdr:colOff>
      <xdr:row>1457</xdr:row>
      <xdr:rowOff>38100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85725</xdr:colOff>
      <xdr:row>1462</xdr:row>
      <xdr:rowOff>19050</xdr:rowOff>
    </xdr:from>
    <xdr:to>
      <xdr:col>3</xdr:col>
      <xdr:colOff>1181100</xdr:colOff>
      <xdr:row>1475</xdr:row>
      <xdr:rowOff>123825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152400</xdr:colOff>
      <xdr:row>1477</xdr:row>
      <xdr:rowOff>0</xdr:rowOff>
    </xdr:from>
    <xdr:to>
      <xdr:col>3</xdr:col>
      <xdr:colOff>1219200</xdr:colOff>
      <xdr:row>1491</xdr:row>
      <xdr:rowOff>76200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104775</xdr:colOff>
      <xdr:row>1493</xdr:row>
      <xdr:rowOff>0</xdr:rowOff>
    </xdr:from>
    <xdr:to>
      <xdr:col>3</xdr:col>
      <xdr:colOff>1209675</xdr:colOff>
      <xdr:row>1507</xdr:row>
      <xdr:rowOff>76200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76200</xdr:colOff>
      <xdr:row>1509</xdr:row>
      <xdr:rowOff>7620</xdr:rowOff>
    </xdr:from>
    <xdr:to>
      <xdr:col>3</xdr:col>
      <xdr:colOff>1181100</xdr:colOff>
      <xdr:row>1523</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129540</xdr:colOff>
      <xdr:row>1524</xdr:row>
      <xdr:rowOff>167640</xdr:rowOff>
    </xdr:from>
    <xdr:to>
      <xdr:col>3</xdr:col>
      <xdr:colOff>1234440</xdr:colOff>
      <xdr:row>1539</xdr:row>
      <xdr:rowOff>60960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144780</xdr:colOff>
      <xdr:row>1541</xdr:row>
      <xdr:rowOff>15240</xdr:rowOff>
    </xdr:from>
    <xdr:to>
      <xdr:col>3</xdr:col>
      <xdr:colOff>1249680</xdr:colOff>
      <xdr:row>1555</xdr:row>
      <xdr:rowOff>91440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152400</xdr:colOff>
      <xdr:row>1557</xdr:row>
      <xdr:rowOff>7620</xdr:rowOff>
    </xdr:from>
    <xdr:to>
      <xdr:col>3</xdr:col>
      <xdr:colOff>1257300</xdr:colOff>
      <xdr:row>1571</xdr:row>
      <xdr:rowOff>83820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182880</xdr:colOff>
      <xdr:row>1573</xdr:row>
      <xdr:rowOff>7620</xdr:rowOff>
    </xdr:from>
    <xdr:to>
      <xdr:col>3</xdr:col>
      <xdr:colOff>1287780</xdr:colOff>
      <xdr:row>1587</xdr:row>
      <xdr:rowOff>83820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68580</xdr:colOff>
      <xdr:row>1589</xdr:row>
      <xdr:rowOff>7620</xdr:rowOff>
    </xdr:from>
    <xdr:to>
      <xdr:col>3</xdr:col>
      <xdr:colOff>1173480</xdr:colOff>
      <xdr:row>1606</xdr:row>
      <xdr:rowOff>160020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137160</xdr:colOff>
      <xdr:row>1608</xdr:row>
      <xdr:rowOff>160020</xdr:rowOff>
    </xdr:from>
    <xdr:to>
      <xdr:col>3</xdr:col>
      <xdr:colOff>1242060</xdr:colOff>
      <xdr:row>1626</xdr:row>
      <xdr:rowOff>129540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76200</xdr:colOff>
      <xdr:row>1629</xdr:row>
      <xdr:rowOff>0</xdr:rowOff>
    </xdr:from>
    <xdr:to>
      <xdr:col>3</xdr:col>
      <xdr:colOff>1181100</xdr:colOff>
      <xdr:row>1644</xdr:row>
      <xdr:rowOff>129540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99060</xdr:colOff>
      <xdr:row>1647</xdr:row>
      <xdr:rowOff>30480</xdr:rowOff>
    </xdr:from>
    <xdr:to>
      <xdr:col>3</xdr:col>
      <xdr:colOff>1203960</xdr:colOff>
      <xdr:row>1662</xdr:row>
      <xdr:rowOff>160020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220980</xdr:colOff>
      <xdr:row>1664</xdr:row>
      <xdr:rowOff>175260</xdr:rowOff>
    </xdr:from>
    <xdr:to>
      <xdr:col>3</xdr:col>
      <xdr:colOff>1325880</xdr:colOff>
      <xdr:row>1680</xdr:row>
      <xdr:rowOff>121920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129540</xdr:colOff>
      <xdr:row>1683</xdr:row>
      <xdr:rowOff>15240</xdr:rowOff>
    </xdr:from>
    <xdr:to>
      <xdr:col>3</xdr:col>
      <xdr:colOff>1234440</xdr:colOff>
      <xdr:row>1698</xdr:row>
      <xdr:rowOff>144780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137160</xdr:colOff>
      <xdr:row>1700</xdr:row>
      <xdr:rowOff>0</xdr:rowOff>
    </xdr:from>
    <xdr:to>
      <xdr:col>3</xdr:col>
      <xdr:colOff>1242060</xdr:colOff>
      <xdr:row>1715</xdr:row>
      <xdr:rowOff>129540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236220</xdr:colOff>
      <xdr:row>1716</xdr:row>
      <xdr:rowOff>167640</xdr:rowOff>
    </xdr:from>
    <xdr:to>
      <xdr:col>3</xdr:col>
      <xdr:colOff>1341120</xdr:colOff>
      <xdr:row>1732</xdr:row>
      <xdr:rowOff>114300</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198120</xdr:colOff>
      <xdr:row>1734</xdr:row>
      <xdr:rowOff>0</xdr:rowOff>
    </xdr:from>
    <xdr:to>
      <xdr:col>3</xdr:col>
      <xdr:colOff>1303020</xdr:colOff>
      <xdr:row>1749</xdr:row>
      <xdr:rowOff>129540</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213360</xdr:colOff>
      <xdr:row>1751</xdr:row>
      <xdr:rowOff>7620</xdr:rowOff>
    </xdr:from>
    <xdr:to>
      <xdr:col>3</xdr:col>
      <xdr:colOff>1318260</xdr:colOff>
      <xdr:row>1766</xdr:row>
      <xdr:rowOff>137160</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190500</xdr:colOff>
      <xdr:row>1767</xdr:row>
      <xdr:rowOff>175260</xdr:rowOff>
    </xdr:from>
    <xdr:to>
      <xdr:col>3</xdr:col>
      <xdr:colOff>1295400</xdr:colOff>
      <xdr:row>1783</xdr:row>
      <xdr:rowOff>121920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236220</xdr:colOff>
      <xdr:row>1785</xdr:row>
      <xdr:rowOff>38100</xdr:rowOff>
    </xdr:from>
    <xdr:to>
      <xdr:col>3</xdr:col>
      <xdr:colOff>1341120</xdr:colOff>
      <xdr:row>1800</xdr:row>
      <xdr:rowOff>167640</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220980</xdr:colOff>
      <xdr:row>1802</xdr:row>
      <xdr:rowOff>15240</xdr:rowOff>
    </xdr:from>
    <xdr:to>
      <xdr:col>3</xdr:col>
      <xdr:colOff>1325880</xdr:colOff>
      <xdr:row>1817</xdr:row>
      <xdr:rowOff>144780</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251460</xdr:colOff>
      <xdr:row>1819</xdr:row>
      <xdr:rowOff>0</xdr:rowOff>
    </xdr:from>
    <xdr:to>
      <xdr:col>4</xdr:col>
      <xdr:colOff>7620</xdr:colOff>
      <xdr:row>1834</xdr:row>
      <xdr:rowOff>129540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175260</xdr:colOff>
      <xdr:row>1836</xdr:row>
      <xdr:rowOff>15240</xdr:rowOff>
    </xdr:from>
    <xdr:to>
      <xdr:col>3</xdr:col>
      <xdr:colOff>1280160</xdr:colOff>
      <xdr:row>1851</xdr:row>
      <xdr:rowOff>144780</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220980</xdr:colOff>
      <xdr:row>1852</xdr:row>
      <xdr:rowOff>175260</xdr:rowOff>
    </xdr:from>
    <xdr:to>
      <xdr:col>3</xdr:col>
      <xdr:colOff>1325880</xdr:colOff>
      <xdr:row>1868</xdr:row>
      <xdr:rowOff>121920</xdr:rowOff>
    </xdr:to>
    <xdr:graphicFrame macro="">
      <xdr:nvGraphicFramePr>
        <xdr:cNvPr id="56" name="Chart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160020</xdr:colOff>
      <xdr:row>1870</xdr:row>
      <xdr:rowOff>22860</xdr:rowOff>
    </xdr:from>
    <xdr:to>
      <xdr:col>3</xdr:col>
      <xdr:colOff>1264920</xdr:colOff>
      <xdr:row>1885</xdr:row>
      <xdr:rowOff>152400</xdr:rowOff>
    </xdr:to>
    <xdr:graphicFrame macro="">
      <xdr:nvGraphicFramePr>
        <xdr:cNvPr id="57" name="Chart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274320</xdr:colOff>
      <xdr:row>1887</xdr:row>
      <xdr:rowOff>30480</xdr:rowOff>
    </xdr:from>
    <xdr:to>
      <xdr:col>4</xdr:col>
      <xdr:colOff>30480</xdr:colOff>
      <xdr:row>1902</xdr:row>
      <xdr:rowOff>160020</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266700</xdr:colOff>
      <xdr:row>1903</xdr:row>
      <xdr:rowOff>167640</xdr:rowOff>
    </xdr:from>
    <xdr:to>
      <xdr:col>4</xdr:col>
      <xdr:colOff>22860</xdr:colOff>
      <xdr:row>1919</xdr:row>
      <xdr:rowOff>114300</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175260</xdr:colOff>
      <xdr:row>1921</xdr:row>
      <xdr:rowOff>0</xdr:rowOff>
    </xdr:from>
    <xdr:to>
      <xdr:col>3</xdr:col>
      <xdr:colOff>1280160</xdr:colOff>
      <xdr:row>1936</xdr:row>
      <xdr:rowOff>129540</xdr:rowOff>
    </xdr:to>
    <xdr:graphicFrame macro="">
      <xdr:nvGraphicFramePr>
        <xdr:cNvPr id="60" name="Chart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167640</xdr:colOff>
      <xdr:row>1938</xdr:row>
      <xdr:rowOff>0</xdr:rowOff>
    </xdr:from>
    <xdr:to>
      <xdr:col>3</xdr:col>
      <xdr:colOff>1272540</xdr:colOff>
      <xdr:row>1953</xdr:row>
      <xdr:rowOff>129540</xdr:rowOff>
    </xdr:to>
    <xdr:graphicFrame macro="">
      <xdr:nvGraphicFramePr>
        <xdr:cNvPr id="61" name="Chart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129540</xdr:colOff>
      <xdr:row>1955</xdr:row>
      <xdr:rowOff>30480</xdr:rowOff>
    </xdr:from>
    <xdr:to>
      <xdr:col>3</xdr:col>
      <xdr:colOff>1234440</xdr:colOff>
      <xdr:row>1970</xdr:row>
      <xdr:rowOff>160020</xdr:rowOff>
    </xdr:to>
    <xdr:graphicFrame macro="">
      <xdr:nvGraphicFramePr>
        <xdr:cNvPr id="62" name="Chart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121920</xdr:colOff>
      <xdr:row>1972</xdr:row>
      <xdr:rowOff>0</xdr:rowOff>
    </xdr:from>
    <xdr:to>
      <xdr:col>3</xdr:col>
      <xdr:colOff>1226820</xdr:colOff>
      <xdr:row>1987</xdr:row>
      <xdr:rowOff>129540</xdr:rowOff>
    </xdr:to>
    <xdr:graphicFrame macro="">
      <xdr:nvGraphicFramePr>
        <xdr:cNvPr id="63" name="Chart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wsDr>
</file>

<file path=xl/tables/table1.xml><?xml version="1.0" encoding="utf-8"?>
<table xmlns="http://schemas.openxmlformats.org/spreadsheetml/2006/main" id="1" name="Table1" displayName="Table1" ref="B5:BS15" totalsRowShown="0" dataDxfId="114">
  <autoFilter ref="B5:BS15"/>
  <tableColumns count="70">
    <tableColumn id="1" name="Quest1" dataDxfId="113"/>
    <tableColumn id="2" name="Quest2" dataDxfId="112"/>
    <tableColumn id="3" name="Quest3" dataDxfId="111"/>
    <tableColumn id="4" name="Quest4" dataDxfId="110"/>
    <tableColumn id="5" name="Quest5" dataDxfId="109"/>
    <tableColumn id="6" name="Quest6" dataDxfId="108"/>
    <tableColumn id="7" name="Quest7" dataDxfId="107"/>
    <tableColumn id="8" name="Quest8" dataDxfId="106"/>
    <tableColumn id="9" name="Quest9" dataDxfId="105"/>
    <tableColumn id="10" name="Quest10" dataDxfId="104"/>
    <tableColumn id="11" name="Quest11" dataDxfId="103"/>
    <tableColumn id="12" name="Quest12" dataDxfId="102"/>
    <tableColumn id="13" name="Quest13" dataDxfId="101"/>
    <tableColumn id="14" name="Quest14" dataDxfId="100"/>
    <tableColumn id="15" name="Quest15" dataDxfId="99"/>
    <tableColumn id="16" name="Quest16" dataDxfId="98"/>
    <tableColumn id="17" name="Quest17" dataDxfId="97"/>
    <tableColumn id="18" name="Quest18" dataDxfId="96"/>
    <tableColumn id="19" name="Quest19" dataDxfId="95"/>
    <tableColumn id="20" name="Quest20" dataDxfId="94"/>
    <tableColumn id="21" name="Quest21" dataDxfId="93"/>
    <tableColumn id="22" name="Quest22" dataDxfId="92"/>
    <tableColumn id="23" name="Quest23" dataDxfId="91"/>
    <tableColumn id="24" name="Quest24" dataDxfId="90"/>
    <tableColumn id="25" name="Quest25" dataDxfId="89"/>
    <tableColumn id="26" name="Quest26" dataDxfId="88"/>
    <tableColumn id="27" name="Quest27" dataDxfId="87"/>
    <tableColumn id="28" name="Quest28" dataDxfId="86"/>
    <tableColumn id="29" name="Quest29" dataDxfId="85"/>
    <tableColumn id="30" name="Quest30" dataDxfId="84"/>
    <tableColumn id="31" name="Quest31" dataDxfId="83"/>
    <tableColumn id="32" name="Quest32" dataDxfId="82"/>
    <tableColumn id="33" name="Quest33" dataDxfId="81"/>
    <tableColumn id="34" name="Quest34" dataDxfId="80"/>
    <tableColumn id="35" name="Quest35" dataDxfId="79"/>
    <tableColumn id="36" name="Quest36" dataDxfId="78"/>
    <tableColumn id="37" name="Quest37" dataDxfId="77"/>
    <tableColumn id="38" name="Quest38" dataDxfId="76"/>
    <tableColumn id="39" name="Quest39" dataDxfId="75"/>
    <tableColumn id="40" name="Quest40" dataDxfId="74"/>
    <tableColumn id="41" name="Quest41" dataDxfId="73"/>
    <tableColumn id="42" name="Quest42" dataDxfId="72"/>
    <tableColumn id="43" name="Quest43" dataDxfId="71"/>
    <tableColumn id="44" name="Quest44" dataDxfId="70"/>
    <tableColumn id="45" name="Quest45" dataDxfId="69"/>
    <tableColumn id="46" name="Quest46" dataDxfId="68"/>
    <tableColumn id="47" name="Quest47" dataDxfId="67"/>
    <tableColumn id="48" name="Quest48" dataDxfId="66"/>
    <tableColumn id="49" name="Quest49" dataDxfId="65"/>
    <tableColumn id="50" name="Quest50" dataDxfId="64"/>
    <tableColumn id="51" name="Quest51" dataDxfId="63"/>
    <tableColumn id="52" name="Quest52" dataDxfId="62"/>
    <tableColumn id="53" name="Quest53" dataDxfId="61"/>
    <tableColumn id="54" name="Quest54" dataDxfId="60"/>
    <tableColumn id="55" name="Quest55" dataDxfId="59"/>
    <tableColumn id="56" name="Quest56" dataDxfId="58"/>
    <tableColumn id="57" name="Quest57" dataDxfId="57"/>
    <tableColumn id="58" name="Quest58" dataDxfId="56"/>
    <tableColumn id="59" name="Quest59" dataDxfId="55"/>
    <tableColumn id="60" name="Quest60" dataDxfId="54"/>
    <tableColumn id="61" name="Quest61" dataDxfId="53"/>
    <tableColumn id="62" name="Quest62" dataDxfId="52"/>
    <tableColumn id="63" name="Quest63" dataDxfId="51"/>
    <tableColumn id="64" name="Quest64" dataDxfId="50"/>
    <tableColumn id="65" name="Quest65" dataDxfId="49"/>
    <tableColumn id="66" name="Quest66" dataDxfId="48"/>
    <tableColumn id="67" name="Quest67" dataDxfId="47"/>
    <tableColumn id="68" name="Quest68" dataDxfId="46"/>
    <tableColumn id="69" name="Quest69" dataDxfId="45"/>
    <tableColumn id="70" name="Quest70" dataDxfId="44"/>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0:AY16" totalsRowShown="0" headerRowDxfId="43">
  <autoFilter ref="A10:AY16"/>
  <tableColumns count="51">
    <tableColumn id="1" name="Survey No"/>
    <tableColumn id="2" name="How comfortable is your centre? " dataDxfId="42"/>
    <tableColumn id="3" name="How warm is your centre? "/>
    <tableColumn id="4" name="Your access to shared areas where you can spend time with other residents or visitors?"/>
    <tableColumn id="5" name="Your access to a garden or outdoor area?" dataDxfId="41"/>
    <tableColumn id="6" name="Your bedroom?" dataDxfId="40"/>
    <tableColumn id="7" name="The amount of space you have for your belongings?"/>
    <tableColumn id="8" name="The security of your belongings?" dataDxfId="39"/>
    <tableColumn id="9" name="Your laundry facilities?"/>
    <tableColumn id="10" name="Taste of the food?" dataDxfId="38"/>
    <tableColumn id="11" name="Choice of food?" dataDxfId="37"/>
    <tableColumn id="12" name="Amount of food?"/>
    <tableColumn id="13" name="Temperature of the food?" dataDxfId="36"/>
    <tableColumn id="14" name="Times the meals are served?" dataDxfId="35"/>
    <tableColumn id="15" name="Amount of time you get to eat your meal?" dataDxfId="34"/>
    <tableColumn id="16" name="Access to drinks and snacks outside of mealtimes?" dataDxfId="33"/>
    <tableColumn id="17" name="Arrangements for grocery shopping?" dataDxfId="32"/>
    <tableColumn id="18" name="Cooking and dining facilities available?" dataDxfId="31"/>
    <tableColumn id="19" name="The arrangements for visitors?"/>
    <tableColumn id="20" name="The welcome your visitors get from staff?" dataDxfId="30"/>
    <tableColumn id="21" name="What time to get up?"/>
    <tableColumn id="22" name="When you go to bed?" dataDxfId="29"/>
    <tableColumn id="23" name="What you eat?" dataDxfId="28"/>
    <tableColumn id="24" name="What you wear?" dataDxfId="27"/>
    <tableColumn id="25" name="The activities you take part in?" dataDxfId="26"/>
    <tableColumn id="26" name="The care and support you receive?" dataDxfId="25"/>
    <tableColumn id="27" name="The amount of privacy you have?" dataDxfId="24"/>
    <tableColumn id="28" name="How your respect and dignity is protected?" dataDxfId="23"/>
    <tableColumn id="29" name="How safe you feel?" dataDxfId="22"/>
    <tableColumn id="30" name="Your relationships with other residents?" dataDxfId="21"/>
    <tableColumn id="31" name="Your involvement in deciding on the activities in your centre? " dataDxfId="20"/>
    <tableColumn id="32" name="How often you go outside your centre? " dataDxfId="19"/>
    <tableColumn id="33" name="Your participation in the wider community outside your centre? " dataDxfId="18"/>
    <tableColumn id="34" name="Have you a Personal Plan?" dataDxfId="17"/>
    <tableColumn id="35" name="Are easy to talk to?" dataDxfId="16"/>
    <tableColumn id="36" name="Listen to you?" dataDxfId="15"/>
    <tableColumn id="37" name="Know your likes and dislikes?" dataDxfId="14"/>
    <tableColumn id="38" name="Getting dressed?" dataDxfId="13"/>
    <tableColumn id="39" name="Washing?" dataDxfId="12"/>
    <tableColumn id="40" name="Eating or drinking?" dataDxfId="11"/>
    <tableColumn id="41" name="Moving about?" dataDxfId="10"/>
    <tableColumn id="42" name="Taking part in social and recreational activities inside your centre? " dataDxfId="9"/>
    <tableColumn id="43" name="Taking part in activities outside your centre?  " dataDxfId="8"/>
    <tableColumn id="44" name="Who would you speak with if you were unhappy with something in your Centre" dataDxfId="7"/>
    <tableColumn id="45" name="Have you ever made a complaint about something in your Centre?" dataDxfId="6"/>
    <tableColumn id="46" name="Were you happy with the way your complaint was dealt with?" dataDxfId="5"/>
    <tableColumn id="47" name="Person completing this form " dataDxfId="4"/>
    <tableColumn id="48" name="Would you like the PIC  to contact you to discuss anything in this questionnaire" dataDxfId="3"/>
    <tableColumn id="49" name="Column1" dataDxfId="2"/>
    <tableColumn id="50" name="Column49" dataDxfId="1"/>
    <tableColumn id="51" name="Column50"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9"/>
  <sheetViews>
    <sheetView workbookViewId="0"/>
  </sheetViews>
  <sheetFormatPr defaultRowHeight="15"/>
  <cols>
    <col min="1" max="1" width="92.7109375" style="1" customWidth="1"/>
  </cols>
  <sheetData>
    <row r="1" spans="1:1">
      <c r="A1" s="15" t="s">
        <v>238</v>
      </c>
    </row>
    <row r="2" spans="1:1" ht="30">
      <c r="A2" s="1" t="s">
        <v>209</v>
      </c>
    </row>
    <row r="4" spans="1:1">
      <c r="A4" s="15" t="s">
        <v>215</v>
      </c>
    </row>
    <row r="5" spans="1:1">
      <c r="A5" s="12" t="s">
        <v>78</v>
      </c>
    </row>
    <row r="6" spans="1:1">
      <c r="A6" s="12" t="s">
        <v>205</v>
      </c>
    </row>
    <row r="7" spans="1:1">
      <c r="A7" s="12" t="s">
        <v>206</v>
      </c>
    </row>
    <row r="8" spans="1:1">
      <c r="A8" s="12" t="s">
        <v>207</v>
      </c>
    </row>
    <row r="9" spans="1:1">
      <c r="A9" s="12" t="s">
        <v>208</v>
      </c>
    </row>
    <row r="10" spans="1:1" ht="30">
      <c r="A10" s="1" t="s">
        <v>210</v>
      </c>
    </row>
    <row r="11" spans="1:1">
      <c r="A11" s="1" t="s">
        <v>232</v>
      </c>
    </row>
    <row r="12" spans="1:1" ht="26.25">
      <c r="A12" s="12" t="s">
        <v>211</v>
      </c>
    </row>
    <row r="13" spans="1:1">
      <c r="A13" s="12"/>
    </row>
    <row r="14" spans="1:1">
      <c r="A14" s="22" t="s">
        <v>223</v>
      </c>
    </row>
    <row r="15" spans="1:1">
      <c r="A15" s="12" t="s">
        <v>212</v>
      </c>
    </row>
    <row r="16" spans="1:1" ht="26.25">
      <c r="A16" s="12" t="s">
        <v>213</v>
      </c>
    </row>
    <row r="17" spans="1:1" ht="26.25">
      <c r="A17" s="12" t="s">
        <v>214</v>
      </c>
    </row>
    <row r="18" spans="1:1" ht="26.25">
      <c r="A18" s="12" t="s">
        <v>217</v>
      </c>
    </row>
    <row r="19" spans="1:1" ht="26.25">
      <c r="A19" s="12" t="s">
        <v>231</v>
      </c>
    </row>
    <row r="20" spans="1:1">
      <c r="A20" s="21" t="s">
        <v>216</v>
      </c>
    </row>
    <row r="21" spans="1:1">
      <c r="A21" s="21"/>
    </row>
    <row r="22" spans="1:1">
      <c r="A22" s="13" t="s">
        <v>218</v>
      </c>
    </row>
    <row r="23" spans="1:1" ht="30">
      <c r="A23" s="1" t="s">
        <v>219</v>
      </c>
    </row>
    <row r="24" spans="1:1">
      <c r="A24" s="13"/>
    </row>
    <row r="25" spans="1:1">
      <c r="A25" s="13" t="s">
        <v>220</v>
      </c>
    </row>
    <row r="26" spans="1:1" ht="30">
      <c r="A26" s="38" t="s">
        <v>237</v>
      </c>
    </row>
    <row r="27" spans="1:1">
      <c r="A27" s="12"/>
    </row>
    <row r="28" spans="1:1">
      <c r="A28" s="13" t="s">
        <v>221</v>
      </c>
    </row>
    <row r="29" spans="1:1" ht="30">
      <c r="A29" s="1" t="s">
        <v>222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
  <sheetViews>
    <sheetView tabSelected="1" workbookViewId="0"/>
  </sheetViews>
  <sheetFormatPr defaultRowHeight="15"/>
  <cols>
    <col min="1" max="4" width="8.85546875" customWidth="1"/>
  </cols>
  <sheetData/>
  <pageMargins left="0.7" right="0.7" top="0.75" bottom="0.75" header="0.3" footer="0.3"/>
  <pageSetup paperSize="258" orientation="portrait" horizontalDpi="300" verticalDpi="300" r:id="rId1"/>
  <legacyDrawing r:id="rId2"/>
  <oleObjects>
    <oleObject progId="Word.Document.12" shapeId="1026" r:id="rId3"/>
  </oleObjects>
</worksheet>
</file>

<file path=xl/worksheets/sheet2.xml><?xml version="1.0" encoding="utf-8"?>
<worksheet xmlns="http://schemas.openxmlformats.org/spreadsheetml/2006/main" xmlns:r="http://schemas.openxmlformats.org/officeDocument/2006/relationships">
  <dimension ref="A3:BS15"/>
  <sheetViews>
    <sheetView topLeftCell="B4" workbookViewId="0">
      <selection activeCell="AV8" sqref="AV8"/>
    </sheetView>
  </sheetViews>
  <sheetFormatPr defaultRowHeight="15"/>
  <cols>
    <col min="2" max="67" width="20.7109375" customWidth="1"/>
  </cols>
  <sheetData>
    <row r="3" spans="1:71" s="1" customFormat="1" ht="100.15" customHeight="1">
      <c r="A3" s="1" t="s">
        <v>81</v>
      </c>
      <c r="B3" s="1" t="s">
        <v>114</v>
      </c>
      <c r="C3" s="1" t="s">
        <v>115</v>
      </c>
      <c r="D3" s="1" t="s">
        <v>116</v>
      </c>
      <c r="E3" s="1" t="s">
        <v>117</v>
      </c>
      <c r="F3" s="1" t="s">
        <v>118</v>
      </c>
      <c r="G3" s="1" t="s">
        <v>119</v>
      </c>
      <c r="H3" s="1" t="s">
        <v>120</v>
      </c>
      <c r="I3" s="1" t="s">
        <v>121</v>
      </c>
      <c r="J3" s="1" t="s">
        <v>122</v>
      </c>
      <c r="K3" s="1" t="s">
        <v>123</v>
      </c>
      <c r="L3" s="1" t="s">
        <v>124</v>
      </c>
      <c r="M3" s="1" t="s">
        <v>125</v>
      </c>
      <c r="N3" s="1" t="s">
        <v>126</v>
      </c>
      <c r="O3" s="1" t="s">
        <v>127</v>
      </c>
      <c r="P3" s="1" t="s">
        <v>128</v>
      </c>
      <c r="Q3" s="1" t="s">
        <v>129</v>
      </c>
      <c r="R3" s="1" t="s">
        <v>130</v>
      </c>
      <c r="S3" s="1" t="s">
        <v>131</v>
      </c>
      <c r="T3" s="1" t="s">
        <v>132</v>
      </c>
      <c r="U3" s="1" t="s">
        <v>133</v>
      </c>
      <c r="V3" s="1" t="s">
        <v>134</v>
      </c>
      <c r="W3" s="1" t="s">
        <v>135</v>
      </c>
      <c r="X3" s="1" t="s">
        <v>136</v>
      </c>
      <c r="Y3" s="1" t="s">
        <v>137</v>
      </c>
      <c r="Z3" s="1" t="s">
        <v>138</v>
      </c>
      <c r="AA3" s="1" t="s">
        <v>139</v>
      </c>
      <c r="AB3" s="1" t="s">
        <v>140</v>
      </c>
      <c r="AC3" s="1" t="s">
        <v>141</v>
      </c>
      <c r="AD3" s="1" t="s">
        <v>142</v>
      </c>
      <c r="AE3" s="1" t="s">
        <v>143</v>
      </c>
      <c r="AF3" s="1" t="s">
        <v>144</v>
      </c>
      <c r="AG3" s="1" t="s">
        <v>145</v>
      </c>
      <c r="AH3" s="1" t="s">
        <v>226</v>
      </c>
      <c r="AI3" s="1" t="s">
        <v>146</v>
      </c>
      <c r="AJ3" s="1" t="s">
        <v>147</v>
      </c>
      <c r="AK3" s="1" t="s">
        <v>148</v>
      </c>
      <c r="AL3" s="1" t="s">
        <v>149</v>
      </c>
      <c r="AM3" s="1" t="s">
        <v>150</v>
      </c>
      <c r="AN3" s="1" t="s">
        <v>151</v>
      </c>
      <c r="AO3" s="1" t="s">
        <v>152</v>
      </c>
      <c r="AP3" s="1" t="s">
        <v>153</v>
      </c>
      <c r="AQ3" s="1" t="s">
        <v>154</v>
      </c>
      <c r="AR3" s="1" t="s">
        <v>155</v>
      </c>
      <c r="AS3" s="1" t="s">
        <v>235</v>
      </c>
      <c r="AT3" s="1" t="s">
        <v>156</v>
      </c>
      <c r="AU3" s="1" t="s">
        <v>157</v>
      </c>
      <c r="AV3" s="1" t="s">
        <v>158</v>
      </c>
      <c r="AX3" s="1" t="s">
        <v>91</v>
      </c>
      <c r="AY3" s="1" t="s">
        <v>92</v>
      </c>
      <c r="AZ3" s="1" t="s">
        <v>93</v>
      </c>
      <c r="BA3" s="1" t="s">
        <v>94</v>
      </c>
      <c r="BB3" s="1" t="s">
        <v>95</v>
      </c>
      <c r="BC3" s="1" t="s">
        <v>96</v>
      </c>
      <c r="BD3" s="1" t="s">
        <v>97</v>
      </c>
      <c r="BE3" s="1" t="s">
        <v>98</v>
      </c>
      <c r="BF3" s="1" t="s">
        <v>99</v>
      </c>
      <c r="BG3" s="1" t="s">
        <v>100</v>
      </c>
      <c r="BH3" s="1" t="s">
        <v>101</v>
      </c>
      <c r="BI3" s="1" t="s">
        <v>102</v>
      </c>
      <c r="BJ3" s="1" t="s">
        <v>103</v>
      </c>
      <c r="BK3" s="1" t="s">
        <v>104</v>
      </c>
      <c r="BL3" s="1" t="s">
        <v>105</v>
      </c>
      <c r="BM3" s="1" t="s">
        <v>106</v>
      </c>
      <c r="BN3" s="1" t="s">
        <v>107</v>
      </c>
      <c r="BO3" s="1" t="s">
        <v>108</v>
      </c>
      <c r="BP3" s="1" t="s">
        <v>109</v>
      </c>
      <c r="BQ3" s="1" t="s">
        <v>110</v>
      </c>
      <c r="BR3" s="1" t="s">
        <v>111</v>
      </c>
      <c r="BS3" s="1" t="s">
        <v>112</v>
      </c>
    </row>
    <row r="5" spans="1:71">
      <c r="B5" t="s">
        <v>0</v>
      </c>
      <c r="C5" t="s">
        <v>1</v>
      </c>
      <c r="D5" t="s">
        <v>2</v>
      </c>
      <c r="E5" t="s">
        <v>3</v>
      </c>
      <c r="F5" t="s">
        <v>4</v>
      </c>
      <c r="G5" t="s">
        <v>5</v>
      </c>
      <c r="H5" t="s">
        <v>6</v>
      </c>
      <c r="I5" t="s">
        <v>7</v>
      </c>
      <c r="J5" t="s">
        <v>8</v>
      </c>
      <c r="K5" t="s">
        <v>9</v>
      </c>
      <c r="L5" t="s">
        <v>10</v>
      </c>
      <c r="M5" t="s">
        <v>11</v>
      </c>
      <c r="N5" t="s">
        <v>12</v>
      </c>
      <c r="O5" t="s">
        <v>13</v>
      </c>
      <c r="P5" t="s">
        <v>14</v>
      </c>
      <c r="Q5" t="s">
        <v>15</v>
      </c>
      <c r="R5" t="s">
        <v>16</v>
      </c>
      <c r="S5" t="s">
        <v>17</v>
      </c>
      <c r="T5" t="s">
        <v>18</v>
      </c>
      <c r="U5" t="s">
        <v>19</v>
      </c>
      <c r="V5" t="s">
        <v>20</v>
      </c>
      <c r="W5" t="s">
        <v>21</v>
      </c>
      <c r="X5" t="s">
        <v>22</v>
      </c>
      <c r="Y5" t="s">
        <v>23</v>
      </c>
      <c r="Z5" t="s">
        <v>24</v>
      </c>
      <c r="AA5" t="s">
        <v>25</v>
      </c>
      <c r="AB5" t="s">
        <v>26</v>
      </c>
      <c r="AC5" t="s">
        <v>27</v>
      </c>
      <c r="AD5" t="s">
        <v>28</v>
      </c>
      <c r="AE5" t="s">
        <v>29</v>
      </c>
      <c r="AF5" t="s">
        <v>30</v>
      </c>
      <c r="AG5" t="s">
        <v>31</v>
      </c>
      <c r="AH5" t="s">
        <v>32</v>
      </c>
      <c r="AI5" t="s">
        <v>33</v>
      </c>
      <c r="AJ5" t="s">
        <v>34</v>
      </c>
      <c r="AK5" t="s">
        <v>41</v>
      </c>
      <c r="AL5" t="s">
        <v>42</v>
      </c>
      <c r="AM5" t="s">
        <v>43</v>
      </c>
      <c r="AN5" t="s">
        <v>44</v>
      </c>
      <c r="AO5" t="s">
        <v>45</v>
      </c>
      <c r="AP5" t="s">
        <v>46</v>
      </c>
      <c r="AQ5" t="s">
        <v>47</v>
      </c>
      <c r="AR5" t="s">
        <v>48</v>
      </c>
      <c r="AS5" t="s">
        <v>49</v>
      </c>
      <c r="AT5" t="s">
        <v>50</v>
      </c>
      <c r="AU5" t="s">
        <v>51</v>
      </c>
      <c r="AV5" t="s">
        <v>52</v>
      </c>
      <c r="AW5" t="s">
        <v>53</v>
      </c>
      <c r="AX5" t="s">
        <v>54</v>
      </c>
      <c r="AY5" t="s">
        <v>55</v>
      </c>
      <c r="AZ5" t="s">
        <v>56</v>
      </c>
      <c r="BA5" t="s">
        <v>57</v>
      </c>
      <c r="BB5" t="s">
        <v>58</v>
      </c>
      <c r="BC5" t="s">
        <v>59</v>
      </c>
      <c r="BD5" t="s">
        <v>60</v>
      </c>
      <c r="BE5" t="s">
        <v>61</v>
      </c>
      <c r="BF5" t="s">
        <v>62</v>
      </c>
      <c r="BG5" t="s">
        <v>63</v>
      </c>
      <c r="BH5" t="s">
        <v>64</v>
      </c>
      <c r="BI5" t="s">
        <v>65</v>
      </c>
      <c r="BJ5" t="s">
        <v>66</v>
      </c>
      <c r="BK5" t="s">
        <v>67</v>
      </c>
      <c r="BL5" t="s">
        <v>68</v>
      </c>
      <c r="BM5" t="s">
        <v>69</v>
      </c>
      <c r="BN5" t="s">
        <v>70</v>
      </c>
      <c r="BO5" t="s">
        <v>71</v>
      </c>
      <c r="BP5" t="s">
        <v>72</v>
      </c>
      <c r="BQ5" t="s">
        <v>73</v>
      </c>
      <c r="BR5" t="s">
        <v>74</v>
      </c>
      <c r="BS5" t="s">
        <v>75</v>
      </c>
    </row>
    <row r="6" spans="1:71" s="1" customFormat="1" ht="30">
      <c r="A6" s="1" t="s">
        <v>82</v>
      </c>
      <c r="B6" s="1" t="s">
        <v>159</v>
      </c>
      <c r="C6" s="1" t="s">
        <v>159</v>
      </c>
      <c r="D6" s="1" t="s">
        <v>159</v>
      </c>
      <c r="E6" s="1" t="s">
        <v>159</v>
      </c>
      <c r="F6" s="1" t="s">
        <v>159</v>
      </c>
      <c r="G6" s="1" t="s">
        <v>159</v>
      </c>
      <c r="H6" s="1" t="s">
        <v>159</v>
      </c>
      <c r="I6" s="1" t="s">
        <v>159</v>
      </c>
      <c r="J6" s="1" t="s">
        <v>159</v>
      </c>
      <c r="K6" s="1" t="s">
        <v>159</v>
      </c>
      <c r="L6" s="1" t="s">
        <v>159</v>
      </c>
      <c r="M6" s="1" t="s">
        <v>159</v>
      </c>
      <c r="N6" s="1" t="s">
        <v>159</v>
      </c>
      <c r="O6" s="1" t="s">
        <v>159</v>
      </c>
      <c r="P6" s="1" t="s">
        <v>159</v>
      </c>
      <c r="Q6" s="1" t="s">
        <v>159</v>
      </c>
      <c r="R6" s="1" t="s">
        <v>159</v>
      </c>
      <c r="S6" s="1" t="s">
        <v>159</v>
      </c>
      <c r="T6" s="1" t="s">
        <v>159</v>
      </c>
      <c r="U6" s="1" t="s">
        <v>159</v>
      </c>
      <c r="V6" s="1" t="s">
        <v>159</v>
      </c>
      <c r="W6" s="1" t="s">
        <v>159</v>
      </c>
      <c r="X6" s="1" t="s">
        <v>159</v>
      </c>
      <c r="Y6" s="1" t="s">
        <v>159</v>
      </c>
      <c r="Z6" s="1" t="s">
        <v>159</v>
      </c>
      <c r="AA6" s="1" t="s">
        <v>159</v>
      </c>
      <c r="AB6" s="1" t="s">
        <v>159</v>
      </c>
      <c r="AC6" s="1" t="s">
        <v>159</v>
      </c>
      <c r="AD6" s="1" t="s">
        <v>159</v>
      </c>
      <c r="AE6" s="1" t="s">
        <v>159</v>
      </c>
      <c r="AF6" s="1" t="s">
        <v>159</v>
      </c>
      <c r="AG6" s="1" t="s">
        <v>159</v>
      </c>
      <c r="AH6" s="1" t="s">
        <v>160</v>
      </c>
      <c r="AI6" s="1" t="s">
        <v>159</v>
      </c>
      <c r="AJ6" s="1" t="s">
        <v>159</v>
      </c>
      <c r="AK6" s="1" t="s">
        <v>159</v>
      </c>
      <c r="AL6" s="1" t="s">
        <v>159</v>
      </c>
      <c r="AM6" s="1" t="s">
        <v>159</v>
      </c>
      <c r="AN6" s="1" t="s">
        <v>159</v>
      </c>
      <c r="AO6" s="1" t="s">
        <v>159</v>
      </c>
      <c r="AP6" s="1" t="s">
        <v>159</v>
      </c>
      <c r="AQ6" s="1" t="s">
        <v>159</v>
      </c>
      <c r="AR6" s="1" t="s">
        <v>161</v>
      </c>
      <c r="AS6" s="1" t="s">
        <v>160</v>
      </c>
      <c r="AT6" s="1" t="s">
        <v>160</v>
      </c>
      <c r="AU6" s="1" t="s">
        <v>162</v>
      </c>
      <c r="AV6" s="1" t="s">
        <v>160</v>
      </c>
    </row>
    <row r="7" spans="1:71" s="1" customFormat="1" ht="30">
      <c r="A7" s="1" t="s">
        <v>83</v>
      </c>
      <c r="B7" s="1" t="s">
        <v>163</v>
      </c>
      <c r="C7" s="1" t="s">
        <v>163</v>
      </c>
      <c r="D7" s="1" t="s">
        <v>163</v>
      </c>
      <c r="E7" s="1" t="s">
        <v>163</v>
      </c>
      <c r="F7" s="1" t="s">
        <v>163</v>
      </c>
      <c r="G7" s="1" t="s">
        <v>163</v>
      </c>
      <c r="H7" s="1" t="s">
        <v>163</v>
      </c>
      <c r="I7" s="1" t="s">
        <v>163</v>
      </c>
      <c r="J7" s="1" t="s">
        <v>163</v>
      </c>
      <c r="K7" s="1" t="s">
        <v>163</v>
      </c>
      <c r="L7" s="1" t="s">
        <v>163</v>
      </c>
      <c r="M7" s="1" t="s">
        <v>163</v>
      </c>
      <c r="N7" s="1" t="s">
        <v>163</v>
      </c>
      <c r="O7" s="1" t="s">
        <v>163</v>
      </c>
      <c r="P7" s="1" t="s">
        <v>163</v>
      </c>
      <c r="Q7" s="1" t="s">
        <v>163</v>
      </c>
      <c r="R7" s="1" t="s">
        <v>163</v>
      </c>
      <c r="S7" s="1" t="s">
        <v>163</v>
      </c>
      <c r="T7" s="1" t="s">
        <v>163</v>
      </c>
      <c r="U7" s="1" t="s">
        <v>163</v>
      </c>
      <c r="V7" s="1" t="s">
        <v>163</v>
      </c>
      <c r="W7" s="1" t="s">
        <v>163</v>
      </c>
      <c r="X7" s="1" t="s">
        <v>163</v>
      </c>
      <c r="Y7" s="1" t="s">
        <v>163</v>
      </c>
      <c r="Z7" s="1" t="s">
        <v>163</v>
      </c>
      <c r="AA7" s="1" t="s">
        <v>163</v>
      </c>
      <c r="AB7" s="1" t="s">
        <v>163</v>
      </c>
      <c r="AC7" s="1" t="s">
        <v>163</v>
      </c>
      <c r="AD7" s="1" t="s">
        <v>163</v>
      </c>
      <c r="AE7" s="1" t="s">
        <v>163</v>
      </c>
      <c r="AF7" s="1" t="s">
        <v>163</v>
      </c>
      <c r="AG7" s="1" t="s">
        <v>163</v>
      </c>
      <c r="AH7" s="1" t="s">
        <v>164</v>
      </c>
      <c r="AI7" s="1" t="s">
        <v>163</v>
      </c>
      <c r="AJ7" s="1" t="s">
        <v>163</v>
      </c>
      <c r="AK7" s="1" t="s">
        <v>163</v>
      </c>
      <c r="AL7" s="1" t="s">
        <v>163</v>
      </c>
      <c r="AM7" s="1" t="s">
        <v>163</v>
      </c>
      <c r="AN7" s="1" t="s">
        <v>163</v>
      </c>
      <c r="AO7" s="1" t="s">
        <v>163</v>
      </c>
      <c r="AP7" s="1" t="s">
        <v>163</v>
      </c>
      <c r="AQ7" s="1" t="s">
        <v>163</v>
      </c>
      <c r="AR7" s="1" t="s">
        <v>165</v>
      </c>
      <c r="AS7" s="1" t="s">
        <v>164</v>
      </c>
      <c r="AT7" s="1" t="s">
        <v>164</v>
      </c>
      <c r="AU7" s="1" t="s">
        <v>166</v>
      </c>
      <c r="AV7" s="1" t="s">
        <v>164</v>
      </c>
    </row>
    <row r="8" spans="1:71" s="1" customFormat="1" ht="30">
      <c r="A8" s="1" t="s">
        <v>84</v>
      </c>
      <c r="B8" s="1" t="s">
        <v>167</v>
      </c>
      <c r="C8" s="1" t="s">
        <v>167</v>
      </c>
      <c r="D8" s="1" t="s">
        <v>167</v>
      </c>
      <c r="E8" s="1" t="s">
        <v>167</v>
      </c>
      <c r="F8" s="1" t="s">
        <v>167</v>
      </c>
      <c r="G8" s="1" t="s">
        <v>167</v>
      </c>
      <c r="H8" s="1" t="s">
        <v>167</v>
      </c>
      <c r="I8" s="1" t="s">
        <v>167</v>
      </c>
      <c r="J8" s="1" t="s">
        <v>167</v>
      </c>
      <c r="K8" s="1" t="s">
        <v>167</v>
      </c>
      <c r="L8" s="1" t="s">
        <v>167</v>
      </c>
      <c r="M8" s="1" t="s">
        <v>167</v>
      </c>
      <c r="N8" s="1" t="s">
        <v>167</v>
      </c>
      <c r="O8" s="1" t="s">
        <v>167</v>
      </c>
      <c r="P8" s="1" t="s">
        <v>167</v>
      </c>
      <c r="Q8" s="1" t="s">
        <v>167</v>
      </c>
      <c r="R8" s="1" t="s">
        <v>167</v>
      </c>
      <c r="S8" s="1" t="s">
        <v>167</v>
      </c>
      <c r="T8" s="1" t="s">
        <v>167</v>
      </c>
      <c r="U8" s="1" t="s">
        <v>167</v>
      </c>
      <c r="V8" s="1" t="s">
        <v>167</v>
      </c>
      <c r="W8" s="1" t="s">
        <v>167</v>
      </c>
      <c r="X8" s="1" t="s">
        <v>167</v>
      </c>
      <c r="Y8" s="1" t="s">
        <v>167</v>
      </c>
      <c r="Z8" s="1" t="s">
        <v>167</v>
      </c>
      <c r="AA8" s="1" t="s">
        <v>167</v>
      </c>
      <c r="AB8" s="1" t="s">
        <v>167</v>
      </c>
      <c r="AC8" s="1" t="s">
        <v>167</v>
      </c>
      <c r="AD8" s="1" t="s">
        <v>167</v>
      </c>
      <c r="AE8" s="1" t="s">
        <v>167</v>
      </c>
      <c r="AF8" s="1" t="s">
        <v>167</v>
      </c>
      <c r="AG8" s="1" t="s">
        <v>167</v>
      </c>
      <c r="AH8" s="1" t="s">
        <v>230</v>
      </c>
      <c r="AI8" s="1" t="s">
        <v>167</v>
      </c>
      <c r="AJ8" s="1" t="s">
        <v>167</v>
      </c>
      <c r="AK8" s="1" t="s">
        <v>167</v>
      </c>
      <c r="AL8" s="1" t="s">
        <v>167</v>
      </c>
      <c r="AM8" s="1" t="s">
        <v>167</v>
      </c>
      <c r="AN8" s="1" t="s">
        <v>167</v>
      </c>
      <c r="AO8" s="1" t="s">
        <v>167</v>
      </c>
      <c r="AP8" s="1" t="s">
        <v>167</v>
      </c>
      <c r="AQ8" s="1" t="s">
        <v>167</v>
      </c>
      <c r="AR8" s="1" t="s">
        <v>168</v>
      </c>
      <c r="AS8" s="1" t="s">
        <v>169</v>
      </c>
      <c r="AT8" s="1" t="s">
        <v>169</v>
      </c>
      <c r="AU8" s="1" t="s">
        <v>161</v>
      </c>
      <c r="AV8" s="1" t="s">
        <v>170</v>
      </c>
      <c r="AW8" s="1" t="s">
        <v>170</v>
      </c>
    </row>
    <row r="9" spans="1:71" s="1" customFormat="1" ht="30">
      <c r="A9" s="1" t="s">
        <v>85</v>
      </c>
      <c r="B9" s="1" t="s">
        <v>170</v>
      </c>
      <c r="C9" s="1" t="s">
        <v>170</v>
      </c>
      <c r="D9" s="1" t="s">
        <v>170</v>
      </c>
      <c r="E9" s="1" t="s">
        <v>170</v>
      </c>
      <c r="F9" s="1" t="s">
        <v>170</v>
      </c>
      <c r="G9" s="1" t="s">
        <v>170</v>
      </c>
      <c r="H9" s="1" t="s">
        <v>170</v>
      </c>
      <c r="I9" s="1" t="s">
        <v>170</v>
      </c>
      <c r="J9" s="1" t="s">
        <v>170</v>
      </c>
      <c r="K9" s="1" t="s">
        <v>170</v>
      </c>
      <c r="L9" s="1" t="s">
        <v>170</v>
      </c>
      <c r="M9" s="1" t="s">
        <v>170</v>
      </c>
      <c r="N9" s="1" t="s">
        <v>170</v>
      </c>
      <c r="O9" s="1" t="s">
        <v>170</v>
      </c>
      <c r="P9" s="1" t="s">
        <v>170</v>
      </c>
      <c r="Q9" s="1" t="s">
        <v>170</v>
      </c>
      <c r="R9" s="1" t="s">
        <v>170</v>
      </c>
      <c r="S9" s="1" t="s">
        <v>170</v>
      </c>
      <c r="T9" s="1" t="s">
        <v>170</v>
      </c>
      <c r="U9" s="1" t="s">
        <v>170</v>
      </c>
      <c r="V9" s="1" t="s">
        <v>170</v>
      </c>
      <c r="W9" s="1" t="s">
        <v>170</v>
      </c>
      <c r="X9" s="1" t="s">
        <v>170</v>
      </c>
      <c r="Y9" s="1" t="s">
        <v>170</v>
      </c>
      <c r="Z9" s="1" t="s">
        <v>170</v>
      </c>
      <c r="AA9" s="1" t="s">
        <v>170</v>
      </c>
      <c r="AB9" s="1" t="s">
        <v>170</v>
      </c>
      <c r="AC9" s="1" t="s">
        <v>170</v>
      </c>
      <c r="AD9" s="1" t="s">
        <v>170</v>
      </c>
      <c r="AE9" s="1" t="s">
        <v>170</v>
      </c>
      <c r="AF9" s="1" t="s">
        <v>170</v>
      </c>
      <c r="AG9" s="1" t="s">
        <v>170</v>
      </c>
      <c r="AH9" s="1" t="s">
        <v>170</v>
      </c>
      <c r="AI9" s="1" t="s">
        <v>170</v>
      </c>
      <c r="AJ9" s="1" t="s">
        <v>170</v>
      </c>
      <c r="AK9" s="1" t="s">
        <v>170</v>
      </c>
      <c r="AL9" s="1" t="s">
        <v>233</v>
      </c>
      <c r="AM9" s="1" t="s">
        <v>233</v>
      </c>
      <c r="AN9" s="1" t="s">
        <v>233</v>
      </c>
      <c r="AO9" s="1" t="s">
        <v>233</v>
      </c>
      <c r="AP9" s="1" t="s">
        <v>233</v>
      </c>
      <c r="AQ9" s="1" t="s">
        <v>233</v>
      </c>
      <c r="AR9" s="1" t="s">
        <v>171</v>
      </c>
      <c r="AU9" s="1" t="s">
        <v>172</v>
      </c>
      <c r="AV9" s="1" t="s">
        <v>170</v>
      </c>
      <c r="AW9" s="1" t="s">
        <v>170</v>
      </c>
    </row>
    <row r="10" spans="1:71" s="1" customFormat="1" ht="30">
      <c r="A10" s="1" t="s">
        <v>86</v>
      </c>
      <c r="B10" s="1" t="s">
        <v>170</v>
      </c>
      <c r="C10" s="1" t="s">
        <v>170</v>
      </c>
      <c r="D10" s="1" t="s">
        <v>170</v>
      </c>
      <c r="E10" s="1" t="s">
        <v>170</v>
      </c>
      <c r="F10" s="1" t="s">
        <v>170</v>
      </c>
      <c r="G10" s="1" t="s">
        <v>170</v>
      </c>
      <c r="H10" s="1" t="s">
        <v>170</v>
      </c>
      <c r="I10" s="1" t="s">
        <v>170</v>
      </c>
      <c r="J10" s="1" t="s">
        <v>170</v>
      </c>
      <c r="K10" s="1" t="s">
        <v>170</v>
      </c>
      <c r="L10" s="1" t="s">
        <v>170</v>
      </c>
      <c r="M10" s="1" t="s">
        <v>170</v>
      </c>
      <c r="N10" s="1" t="s">
        <v>170</v>
      </c>
      <c r="O10" s="1" t="s">
        <v>170</v>
      </c>
      <c r="P10" s="1" t="s">
        <v>170</v>
      </c>
      <c r="Q10" s="1" t="s">
        <v>170</v>
      </c>
      <c r="R10" s="1" t="s">
        <v>170</v>
      </c>
      <c r="S10" s="1" t="s">
        <v>170</v>
      </c>
      <c r="T10" s="1" t="s">
        <v>170</v>
      </c>
      <c r="U10" s="1" t="s">
        <v>170</v>
      </c>
      <c r="V10" s="1" t="s">
        <v>170</v>
      </c>
      <c r="W10" s="1" t="s">
        <v>170</v>
      </c>
      <c r="X10" s="1" t="s">
        <v>170</v>
      </c>
      <c r="Y10" s="1" t="s">
        <v>170</v>
      </c>
      <c r="Z10" s="1" t="s">
        <v>170</v>
      </c>
      <c r="AA10" s="1" t="s">
        <v>170</v>
      </c>
      <c r="AB10" s="1" t="s">
        <v>170</v>
      </c>
      <c r="AC10" s="1" t="s">
        <v>170</v>
      </c>
      <c r="AD10" s="1" t="s">
        <v>170</v>
      </c>
      <c r="AE10" s="1" t="s">
        <v>170</v>
      </c>
      <c r="AF10" s="1" t="s">
        <v>170</v>
      </c>
      <c r="AG10" s="1" t="s">
        <v>170</v>
      </c>
      <c r="AH10" s="1" t="s">
        <v>170</v>
      </c>
      <c r="AI10" s="1" t="s">
        <v>170</v>
      </c>
      <c r="AJ10" s="1" t="s">
        <v>170</v>
      </c>
      <c r="AK10" s="1" t="s">
        <v>170</v>
      </c>
      <c r="AL10" s="1" t="s">
        <v>170</v>
      </c>
      <c r="AM10" s="1" t="s">
        <v>170</v>
      </c>
      <c r="AN10" s="1" t="s">
        <v>170</v>
      </c>
      <c r="AO10" s="1" t="s">
        <v>170</v>
      </c>
      <c r="AP10" s="1" t="s">
        <v>170</v>
      </c>
      <c r="AQ10" s="1" t="s">
        <v>170</v>
      </c>
      <c r="AR10" s="1" t="s">
        <v>173</v>
      </c>
      <c r="AU10" s="1" t="s">
        <v>170</v>
      </c>
      <c r="AV10" s="1" t="s">
        <v>170</v>
      </c>
      <c r="AW10" s="1" t="s">
        <v>170</v>
      </c>
    </row>
    <row r="11" spans="1:71" s="1" customFormat="1" ht="30">
      <c r="A11" s="1" t="s">
        <v>87</v>
      </c>
      <c r="B11" s="1" t="s">
        <v>170</v>
      </c>
      <c r="C11" s="1" t="s">
        <v>170</v>
      </c>
      <c r="D11" s="1" t="s">
        <v>170</v>
      </c>
      <c r="E11" s="1" t="s">
        <v>170</v>
      </c>
      <c r="F11" s="1" t="s">
        <v>170</v>
      </c>
      <c r="G11" s="1" t="s">
        <v>170</v>
      </c>
      <c r="H11" s="1" t="s">
        <v>170</v>
      </c>
      <c r="I11" s="1" t="s">
        <v>170</v>
      </c>
      <c r="J11" s="1" t="s">
        <v>170</v>
      </c>
      <c r="K11" s="1" t="s">
        <v>170</v>
      </c>
      <c r="L11" s="1" t="s">
        <v>170</v>
      </c>
      <c r="M11" s="1" t="s">
        <v>170</v>
      </c>
      <c r="N11" s="1" t="s">
        <v>170</v>
      </c>
      <c r="O11" s="1" t="s">
        <v>170</v>
      </c>
      <c r="P11" s="1" t="s">
        <v>170</v>
      </c>
      <c r="Q11" s="1" t="s">
        <v>170</v>
      </c>
      <c r="R11" s="1" t="s">
        <v>170</v>
      </c>
      <c r="S11" s="1" t="s">
        <v>170</v>
      </c>
      <c r="T11" s="1" t="s">
        <v>170</v>
      </c>
      <c r="U11" s="1" t="s">
        <v>170</v>
      </c>
      <c r="V11" s="1" t="s">
        <v>170</v>
      </c>
      <c r="W11" s="1" t="s">
        <v>170</v>
      </c>
      <c r="X11" s="1" t="s">
        <v>170</v>
      </c>
      <c r="Y11" s="1" t="s">
        <v>170</v>
      </c>
      <c r="Z11" s="1" t="s">
        <v>170</v>
      </c>
      <c r="AA11" s="1" t="s">
        <v>170</v>
      </c>
      <c r="AB11" s="1" t="s">
        <v>170</v>
      </c>
      <c r="AC11" s="1" t="s">
        <v>170</v>
      </c>
      <c r="AD11" s="1" t="s">
        <v>170</v>
      </c>
      <c r="AE11" s="1" t="s">
        <v>170</v>
      </c>
      <c r="AF11" s="1" t="s">
        <v>170</v>
      </c>
      <c r="AG11" s="1" t="s">
        <v>170</v>
      </c>
      <c r="AH11" s="1" t="s">
        <v>170</v>
      </c>
      <c r="AI11" s="1" t="s">
        <v>170</v>
      </c>
      <c r="AJ11" s="1" t="s">
        <v>170</v>
      </c>
      <c r="AK11" s="1" t="s">
        <v>170</v>
      </c>
      <c r="AL11" s="1" t="s">
        <v>170</v>
      </c>
      <c r="AM11" s="1" t="s">
        <v>170</v>
      </c>
      <c r="AN11" s="1" t="s">
        <v>170</v>
      </c>
      <c r="AO11" s="1" t="s">
        <v>170</v>
      </c>
      <c r="AP11" s="1" t="s">
        <v>170</v>
      </c>
      <c r="AQ11" s="1" t="s">
        <v>170</v>
      </c>
      <c r="AR11" s="1" t="s">
        <v>174</v>
      </c>
      <c r="AU11" s="1" t="s">
        <v>170</v>
      </c>
      <c r="AV11" s="1" t="s">
        <v>170</v>
      </c>
      <c r="AW11" s="1" t="s">
        <v>170</v>
      </c>
    </row>
    <row r="12" spans="1:71" s="1" customFormat="1" ht="30">
      <c r="A12" s="1" t="s">
        <v>88</v>
      </c>
      <c r="B12" s="1" t="s">
        <v>170</v>
      </c>
      <c r="C12" s="1" t="s">
        <v>170</v>
      </c>
      <c r="D12" s="1" t="s">
        <v>170</v>
      </c>
      <c r="E12" s="1" t="s">
        <v>170</v>
      </c>
      <c r="F12" s="1" t="s">
        <v>170</v>
      </c>
      <c r="G12" s="1" t="s">
        <v>170</v>
      </c>
      <c r="H12" s="1" t="s">
        <v>170</v>
      </c>
      <c r="I12" s="1" t="s">
        <v>170</v>
      </c>
      <c r="J12" s="1" t="s">
        <v>170</v>
      </c>
      <c r="K12" s="1" t="s">
        <v>170</v>
      </c>
      <c r="L12" s="1" t="s">
        <v>170</v>
      </c>
      <c r="M12" s="1" t="s">
        <v>170</v>
      </c>
      <c r="N12" s="1" t="s">
        <v>170</v>
      </c>
      <c r="O12" s="1" t="s">
        <v>170</v>
      </c>
      <c r="P12" s="1" t="s">
        <v>170</v>
      </c>
      <c r="Q12" s="1" t="s">
        <v>170</v>
      </c>
      <c r="R12" s="1" t="s">
        <v>170</v>
      </c>
      <c r="S12" s="1" t="s">
        <v>170</v>
      </c>
      <c r="T12" s="1" t="s">
        <v>170</v>
      </c>
      <c r="U12" s="1" t="s">
        <v>170</v>
      </c>
      <c r="V12" s="1" t="s">
        <v>170</v>
      </c>
      <c r="W12" s="1" t="s">
        <v>170</v>
      </c>
      <c r="X12" s="1" t="s">
        <v>170</v>
      </c>
      <c r="Y12" s="1" t="s">
        <v>170</v>
      </c>
      <c r="Z12" s="1" t="s">
        <v>170</v>
      </c>
      <c r="AA12" s="1" t="s">
        <v>170</v>
      </c>
      <c r="AB12" s="1" t="s">
        <v>170</v>
      </c>
      <c r="AC12" s="1" t="s">
        <v>170</v>
      </c>
      <c r="AD12" s="1" t="s">
        <v>170</v>
      </c>
      <c r="AE12" s="1" t="s">
        <v>170</v>
      </c>
      <c r="AF12" s="1" t="s">
        <v>170</v>
      </c>
      <c r="AG12" s="1" t="s">
        <v>170</v>
      </c>
      <c r="AH12" s="1" t="s">
        <v>170</v>
      </c>
      <c r="AI12" s="1" t="s">
        <v>170</v>
      </c>
      <c r="AJ12" s="1" t="s">
        <v>170</v>
      </c>
      <c r="AK12" s="1" t="s">
        <v>170</v>
      </c>
      <c r="AL12" s="1" t="s">
        <v>170</v>
      </c>
      <c r="AM12" s="1" t="s">
        <v>170</v>
      </c>
      <c r="AN12" s="1" t="s">
        <v>170</v>
      </c>
      <c r="AO12" s="1" t="s">
        <v>170</v>
      </c>
      <c r="AP12" s="1" t="s">
        <v>170</v>
      </c>
      <c r="AQ12" s="1" t="s">
        <v>170</v>
      </c>
      <c r="AR12" s="1" t="s">
        <v>175</v>
      </c>
      <c r="AS12" s="1" t="s">
        <v>170</v>
      </c>
      <c r="AT12" s="1" t="s">
        <v>170</v>
      </c>
      <c r="AU12" s="1" t="s">
        <v>170</v>
      </c>
      <c r="AV12" s="1" t="s">
        <v>170</v>
      </c>
      <c r="AW12" s="1" t="s">
        <v>170</v>
      </c>
    </row>
    <row r="13" spans="1:71" ht="30">
      <c r="A13" s="1" t="s">
        <v>89</v>
      </c>
      <c r="B13" s="1" t="s">
        <v>170</v>
      </c>
      <c r="C13" s="1" t="s">
        <v>170</v>
      </c>
      <c r="D13" s="1" t="s">
        <v>170</v>
      </c>
      <c r="E13" s="1" t="s">
        <v>170</v>
      </c>
      <c r="F13" s="1" t="s">
        <v>170</v>
      </c>
      <c r="G13" s="1" t="s">
        <v>170</v>
      </c>
      <c r="H13" s="1" t="s">
        <v>170</v>
      </c>
      <c r="I13" s="1" t="s">
        <v>170</v>
      </c>
      <c r="J13" s="1" t="s">
        <v>170</v>
      </c>
      <c r="K13" s="1" t="s">
        <v>170</v>
      </c>
      <c r="L13" s="1" t="s">
        <v>170</v>
      </c>
      <c r="M13" s="1" t="s">
        <v>170</v>
      </c>
      <c r="N13" s="1" t="s">
        <v>170</v>
      </c>
      <c r="O13" s="1" t="s">
        <v>170</v>
      </c>
      <c r="P13" s="1" t="s">
        <v>170</v>
      </c>
      <c r="Q13" s="1" t="s">
        <v>170</v>
      </c>
      <c r="R13" s="1" t="s">
        <v>170</v>
      </c>
      <c r="S13" s="1" t="s">
        <v>170</v>
      </c>
      <c r="T13" s="1" t="s">
        <v>170</v>
      </c>
      <c r="U13" s="1" t="s">
        <v>170</v>
      </c>
      <c r="V13" s="1" t="s">
        <v>170</v>
      </c>
      <c r="W13" s="1" t="s">
        <v>170</v>
      </c>
      <c r="X13" s="1" t="s">
        <v>170</v>
      </c>
      <c r="Y13" s="1" t="s">
        <v>170</v>
      </c>
      <c r="Z13" s="1" t="s">
        <v>170</v>
      </c>
      <c r="AA13" s="1" t="s">
        <v>170</v>
      </c>
      <c r="AB13" s="1" t="s">
        <v>170</v>
      </c>
      <c r="AC13" s="1" t="s">
        <v>170</v>
      </c>
      <c r="AD13" s="1" t="s">
        <v>170</v>
      </c>
      <c r="AE13" s="1" t="s">
        <v>170</v>
      </c>
      <c r="AF13" s="1" t="s">
        <v>170</v>
      </c>
      <c r="AG13" s="1" t="s">
        <v>170</v>
      </c>
      <c r="AH13" s="1" t="s">
        <v>170</v>
      </c>
      <c r="AI13" s="1" t="s">
        <v>170</v>
      </c>
      <c r="AJ13" s="1" t="s">
        <v>170</v>
      </c>
      <c r="AK13" s="1" t="s">
        <v>170</v>
      </c>
      <c r="AL13" s="1" t="s">
        <v>170</v>
      </c>
      <c r="AM13" s="1" t="s">
        <v>170</v>
      </c>
      <c r="AN13" s="1" t="s">
        <v>170</v>
      </c>
      <c r="AO13" s="1" t="s">
        <v>170</v>
      </c>
      <c r="AP13" s="1" t="s">
        <v>170</v>
      </c>
      <c r="AQ13" s="1" t="s">
        <v>170</v>
      </c>
      <c r="AR13" s="1" t="s">
        <v>176</v>
      </c>
      <c r="AS13" s="1" t="s">
        <v>170</v>
      </c>
      <c r="AT13" s="1" t="s">
        <v>170</v>
      </c>
      <c r="AU13" s="1" t="s">
        <v>170</v>
      </c>
      <c r="AV13" s="1" t="s">
        <v>170</v>
      </c>
      <c r="AW13" s="1" t="s">
        <v>170</v>
      </c>
      <c r="AX13" s="1"/>
      <c r="AY13" s="1"/>
      <c r="AZ13" s="1"/>
      <c r="BA13" s="1"/>
      <c r="BB13" s="1"/>
      <c r="BC13" s="1"/>
      <c r="BD13" s="1"/>
      <c r="BE13" s="1"/>
      <c r="BF13" s="1"/>
      <c r="BG13" s="1"/>
      <c r="BH13" s="1"/>
      <c r="BI13" s="1"/>
      <c r="BJ13" s="1"/>
      <c r="BK13" s="1"/>
      <c r="BL13" s="1"/>
      <c r="BM13" s="1"/>
      <c r="BN13" s="1"/>
      <c r="BO13" s="1"/>
      <c r="BP13" s="1"/>
      <c r="BQ13" s="1"/>
      <c r="BR13" s="1"/>
      <c r="BS13" s="1"/>
    </row>
    <row r="14" spans="1:71" ht="30">
      <c r="A14" s="1" t="s">
        <v>90</v>
      </c>
      <c r="B14" t="s">
        <v>170</v>
      </c>
      <c r="C14" t="s">
        <v>170</v>
      </c>
      <c r="D14" t="s">
        <v>170</v>
      </c>
      <c r="E14" t="s">
        <v>170</v>
      </c>
      <c r="F14" t="s">
        <v>170</v>
      </c>
      <c r="G14" t="s">
        <v>170</v>
      </c>
      <c r="H14" t="s">
        <v>170</v>
      </c>
      <c r="I14" t="s">
        <v>170</v>
      </c>
      <c r="J14" t="s">
        <v>170</v>
      </c>
      <c r="K14" t="s">
        <v>170</v>
      </c>
      <c r="L14" t="s">
        <v>170</v>
      </c>
      <c r="M14" t="s">
        <v>170</v>
      </c>
      <c r="N14" t="s">
        <v>170</v>
      </c>
      <c r="O14" t="s">
        <v>170</v>
      </c>
      <c r="P14" t="s">
        <v>170</v>
      </c>
      <c r="Q14" t="s">
        <v>170</v>
      </c>
      <c r="R14" t="s">
        <v>170</v>
      </c>
      <c r="S14" t="s">
        <v>170</v>
      </c>
      <c r="T14" t="s">
        <v>170</v>
      </c>
      <c r="U14" t="s">
        <v>170</v>
      </c>
      <c r="V14" t="s">
        <v>170</v>
      </c>
      <c r="W14" t="s">
        <v>170</v>
      </c>
      <c r="X14" t="s">
        <v>170</v>
      </c>
      <c r="Y14" t="s">
        <v>170</v>
      </c>
      <c r="Z14" t="s">
        <v>170</v>
      </c>
      <c r="AA14" t="s">
        <v>170</v>
      </c>
      <c r="AB14" t="s">
        <v>170</v>
      </c>
      <c r="AC14" t="s">
        <v>170</v>
      </c>
      <c r="AD14" t="s">
        <v>170</v>
      </c>
      <c r="AE14" t="s">
        <v>170</v>
      </c>
      <c r="AF14" t="s">
        <v>170</v>
      </c>
      <c r="AG14" t="s">
        <v>170</v>
      </c>
      <c r="AH14" t="s">
        <v>170</v>
      </c>
      <c r="AI14" t="s">
        <v>170</v>
      </c>
      <c r="AJ14" t="s">
        <v>170</v>
      </c>
      <c r="AK14" t="s">
        <v>170</v>
      </c>
      <c r="AL14" t="s">
        <v>170</v>
      </c>
      <c r="AM14" t="s">
        <v>170</v>
      </c>
      <c r="AN14" t="s">
        <v>170</v>
      </c>
      <c r="AO14" t="s">
        <v>170</v>
      </c>
      <c r="AP14" t="s">
        <v>170</v>
      </c>
      <c r="AQ14" t="s">
        <v>170</v>
      </c>
      <c r="AR14" t="s">
        <v>169</v>
      </c>
      <c r="AS14" t="s">
        <v>170</v>
      </c>
      <c r="AT14" t="s">
        <v>170</v>
      </c>
      <c r="AU14" t="s">
        <v>170</v>
      </c>
      <c r="AV14" t="s">
        <v>170</v>
      </c>
      <c r="AW14" t="s">
        <v>170</v>
      </c>
    </row>
    <row r="15" spans="1:71">
      <c r="B15" s="1" t="s">
        <v>35</v>
      </c>
      <c r="C15" s="1" t="s">
        <v>35</v>
      </c>
      <c r="D15" s="1" t="s">
        <v>35</v>
      </c>
      <c r="E15" s="1" t="s">
        <v>35</v>
      </c>
      <c r="F15" s="1" t="s">
        <v>35</v>
      </c>
      <c r="G15" s="1" t="s">
        <v>35</v>
      </c>
      <c r="H15" s="1" t="s">
        <v>35</v>
      </c>
      <c r="I15" s="1" t="s">
        <v>35</v>
      </c>
      <c r="J15" s="1" t="s">
        <v>35</v>
      </c>
      <c r="K15" s="1" t="s">
        <v>35</v>
      </c>
      <c r="L15" s="1" t="s">
        <v>35</v>
      </c>
      <c r="M15" s="1" t="s">
        <v>35</v>
      </c>
      <c r="N15" s="1" t="s">
        <v>35</v>
      </c>
      <c r="O15" s="1" t="s">
        <v>35</v>
      </c>
      <c r="P15" s="1" t="s">
        <v>35</v>
      </c>
      <c r="Q15" s="1" t="s">
        <v>35</v>
      </c>
      <c r="R15" s="1" t="s">
        <v>35</v>
      </c>
      <c r="S15" s="1" t="s">
        <v>35</v>
      </c>
      <c r="T15" s="1" t="s">
        <v>35</v>
      </c>
      <c r="U15" s="1" t="s">
        <v>35</v>
      </c>
      <c r="V15" s="1" t="s">
        <v>35</v>
      </c>
      <c r="W15" s="1" t="s">
        <v>35</v>
      </c>
      <c r="X15" s="1" t="s">
        <v>35</v>
      </c>
      <c r="Y15" s="1" t="s">
        <v>35</v>
      </c>
      <c r="Z15" s="1" t="s">
        <v>35</v>
      </c>
      <c r="AA15" s="1" t="s">
        <v>35</v>
      </c>
      <c r="AB15" s="1" t="s">
        <v>35</v>
      </c>
      <c r="AC15" s="1" t="s">
        <v>35</v>
      </c>
      <c r="AD15" s="1" t="s">
        <v>35</v>
      </c>
      <c r="AE15" s="1" t="s">
        <v>35</v>
      </c>
      <c r="AF15" s="1" t="s">
        <v>35</v>
      </c>
      <c r="AG15" s="1" t="s">
        <v>35</v>
      </c>
      <c r="AH15" s="1" t="s">
        <v>35</v>
      </c>
      <c r="AI15" s="1" t="s">
        <v>35</v>
      </c>
      <c r="AJ15" s="1" t="s">
        <v>35</v>
      </c>
      <c r="AK15" s="1" t="s">
        <v>35</v>
      </c>
      <c r="AL15" s="1" t="s">
        <v>35</v>
      </c>
      <c r="AM15" s="1" t="s">
        <v>35</v>
      </c>
      <c r="AN15" s="1" t="s">
        <v>35</v>
      </c>
      <c r="AO15" s="1" t="s">
        <v>35</v>
      </c>
      <c r="AP15" s="1" t="s">
        <v>35</v>
      </c>
      <c r="AQ15" s="1" t="s">
        <v>35</v>
      </c>
      <c r="AR15" s="1" t="s">
        <v>35</v>
      </c>
      <c r="AS15" s="1" t="s">
        <v>35</v>
      </c>
      <c r="AT15" s="1" t="s">
        <v>35</v>
      </c>
      <c r="AU15" s="1" t="s">
        <v>35</v>
      </c>
      <c r="AV15" s="1" t="s">
        <v>35</v>
      </c>
      <c r="AW15" s="1" t="s">
        <v>35</v>
      </c>
      <c r="AX15" s="1"/>
      <c r="AY15" s="1"/>
      <c r="AZ15" s="1"/>
      <c r="BA15" s="1"/>
      <c r="BB15" s="1"/>
      <c r="BC15" s="1"/>
      <c r="BD15" s="1"/>
      <c r="BE15" s="1"/>
      <c r="BF15" s="1"/>
      <c r="BG15" s="1"/>
      <c r="BH15" s="1"/>
      <c r="BI15" s="1"/>
      <c r="BJ15" s="1"/>
      <c r="BK15" s="1"/>
      <c r="BL15" s="1"/>
      <c r="BM15" s="1"/>
      <c r="BN15" s="1"/>
      <c r="BO15" s="1"/>
      <c r="BP15" s="1"/>
      <c r="BQ15" s="1"/>
      <c r="BR15" s="1"/>
      <c r="BS15" s="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dimension ref="A1:AY16"/>
  <sheetViews>
    <sheetView zoomScaleNormal="100" workbookViewId="0">
      <pane xSplit="1" topLeftCell="AR1" activePane="topRight" state="frozen"/>
      <selection pane="topRight" activeCell="B11" sqref="B11:AV16"/>
    </sheetView>
  </sheetViews>
  <sheetFormatPr defaultRowHeight="15"/>
  <cols>
    <col min="1" max="1" width="25.42578125" customWidth="1"/>
    <col min="2" max="2" width="18.7109375" style="1" customWidth="1"/>
    <col min="3" max="5" width="18.7109375" customWidth="1"/>
    <col min="6" max="6" width="18.7109375" style="1" customWidth="1"/>
    <col min="7" max="9" width="18.7109375" customWidth="1"/>
    <col min="10" max="11" width="18.7109375" style="1" customWidth="1"/>
    <col min="12" max="12" width="18.7109375" customWidth="1"/>
    <col min="13" max="13" width="18.7109375" style="1" customWidth="1"/>
    <col min="14" max="14" width="18.7109375" customWidth="1"/>
    <col min="15" max="16" width="18.7109375" style="1" customWidth="1"/>
    <col min="17" max="17" width="18.7109375" customWidth="1"/>
    <col min="18" max="18" width="18.7109375" style="1" customWidth="1"/>
    <col min="19" max="21" width="18.7109375" customWidth="1"/>
    <col min="22" max="22" width="18.7109375" style="1" customWidth="1"/>
    <col min="23" max="23" width="18.7109375" customWidth="1"/>
    <col min="24" max="36" width="18.7109375" style="1" customWidth="1"/>
    <col min="37" max="37" width="18.7109375" customWidth="1"/>
    <col min="38" max="51" width="20.7109375" customWidth="1"/>
  </cols>
  <sheetData>
    <row r="1" spans="1:51">
      <c r="A1" s="39" t="s">
        <v>177</v>
      </c>
      <c r="B1" s="7"/>
      <c r="C1" s="6"/>
    </row>
    <row r="2" spans="1:51" ht="15" customHeight="1">
      <c r="A2" s="40" t="s">
        <v>178</v>
      </c>
      <c r="B2" s="44"/>
      <c r="C2" s="45"/>
    </row>
    <row r="3" spans="1:51" ht="15" customHeight="1">
      <c r="A3" s="40" t="s">
        <v>179</v>
      </c>
      <c r="B3" s="44"/>
      <c r="C3" s="45"/>
    </row>
    <row r="4" spans="1:51" ht="15" customHeight="1">
      <c r="A4" s="40" t="s">
        <v>180</v>
      </c>
      <c r="B4" s="44"/>
      <c r="C4" s="45"/>
    </row>
    <row r="5" spans="1:51" ht="15" customHeight="1">
      <c r="A5" s="40" t="s">
        <v>36</v>
      </c>
      <c r="B5" s="46" t="s">
        <v>204</v>
      </c>
      <c r="C5" s="45"/>
    </row>
    <row r="6" spans="1:51" ht="15" customHeight="1">
      <c r="A6" s="40" t="s">
        <v>181</v>
      </c>
      <c r="B6" s="47">
        <v>6</v>
      </c>
      <c r="C6" s="45"/>
    </row>
    <row r="7" spans="1:51" ht="15" customHeight="1">
      <c r="A7" s="40" t="s">
        <v>224</v>
      </c>
      <c r="B7" s="48">
        <v>8</v>
      </c>
      <c r="C7" s="45"/>
    </row>
    <row r="8" spans="1:51">
      <c r="A8" s="3"/>
      <c r="B8" s="53" t="s">
        <v>194</v>
      </c>
      <c r="C8" s="54"/>
      <c r="D8" s="54"/>
      <c r="E8" s="55"/>
      <c r="F8" s="53" t="s">
        <v>195</v>
      </c>
      <c r="G8" s="54"/>
      <c r="H8" s="54"/>
      <c r="I8" s="55"/>
      <c r="J8" s="53" t="s">
        <v>196</v>
      </c>
      <c r="K8" s="54"/>
      <c r="L8" s="54"/>
      <c r="M8" s="54"/>
      <c r="N8" s="54"/>
      <c r="O8" s="54"/>
      <c r="P8" s="54"/>
      <c r="Q8" s="54"/>
      <c r="R8" s="55"/>
      <c r="S8" s="53" t="s">
        <v>197</v>
      </c>
      <c r="T8" s="55"/>
      <c r="U8" s="53" t="s">
        <v>198</v>
      </c>
      <c r="V8" s="54"/>
      <c r="W8" s="54"/>
      <c r="X8" s="54"/>
      <c r="Y8" s="54"/>
      <c r="Z8" s="54"/>
      <c r="AA8" s="54"/>
      <c r="AB8" s="54"/>
      <c r="AC8" s="55"/>
      <c r="AD8" s="53" t="s">
        <v>199</v>
      </c>
      <c r="AE8" s="54"/>
      <c r="AF8" s="54"/>
      <c r="AG8" s="55"/>
      <c r="AH8" s="14" t="s">
        <v>229</v>
      </c>
      <c r="AI8" s="49" t="s">
        <v>201</v>
      </c>
      <c r="AJ8" s="50"/>
      <c r="AK8" s="50"/>
      <c r="AL8" s="51" t="s">
        <v>227</v>
      </c>
      <c r="AM8" s="52"/>
      <c r="AN8" s="52"/>
      <c r="AO8" s="52"/>
      <c r="AP8" s="52"/>
      <c r="AQ8" s="52"/>
      <c r="AR8" s="41" t="s">
        <v>234</v>
      </c>
      <c r="AS8" s="42"/>
      <c r="AT8" s="43"/>
    </row>
    <row r="9" spans="1:51">
      <c r="B9" s="1" t="s">
        <v>0</v>
      </c>
      <c r="C9" t="s">
        <v>1</v>
      </c>
      <c r="D9" t="s">
        <v>2</v>
      </c>
      <c r="E9" t="s">
        <v>3</v>
      </c>
      <c r="F9" s="1" t="s">
        <v>4</v>
      </c>
      <c r="G9" t="s">
        <v>5</v>
      </c>
      <c r="H9" t="s">
        <v>6</v>
      </c>
      <c r="I9" t="s">
        <v>7</v>
      </c>
      <c r="J9" s="1" t="s">
        <v>8</v>
      </c>
      <c r="K9" s="1" t="s">
        <v>9</v>
      </c>
      <c r="L9" t="s">
        <v>10</v>
      </c>
      <c r="M9" s="1" t="s">
        <v>11</v>
      </c>
      <c r="N9" t="s">
        <v>12</v>
      </c>
      <c r="O9" s="1" t="s">
        <v>13</v>
      </c>
      <c r="P9" s="1" t="s">
        <v>14</v>
      </c>
      <c r="Q9" t="s">
        <v>15</v>
      </c>
      <c r="R9" s="1" t="s">
        <v>16</v>
      </c>
      <c r="S9" t="s">
        <v>17</v>
      </c>
      <c r="T9" t="s">
        <v>18</v>
      </c>
      <c r="U9" t="s">
        <v>19</v>
      </c>
      <c r="V9" s="1" t="s">
        <v>20</v>
      </c>
      <c r="W9" t="s">
        <v>21</v>
      </c>
      <c r="X9" s="1" t="s">
        <v>22</v>
      </c>
      <c r="Y9" s="1" t="s">
        <v>23</v>
      </c>
      <c r="Z9" s="1" t="s">
        <v>24</v>
      </c>
      <c r="AA9" s="1" t="s">
        <v>25</v>
      </c>
      <c r="AB9" s="1" t="s">
        <v>26</v>
      </c>
      <c r="AC9" s="1" t="s">
        <v>27</v>
      </c>
      <c r="AD9" s="1" t="s">
        <v>28</v>
      </c>
      <c r="AE9" s="1" t="s">
        <v>29</v>
      </c>
      <c r="AF9" s="1" t="s">
        <v>30</v>
      </c>
      <c r="AG9" s="1" t="s">
        <v>31</v>
      </c>
      <c r="AH9" s="1" t="s">
        <v>32</v>
      </c>
      <c r="AI9" s="1" t="s">
        <v>33</v>
      </c>
      <c r="AJ9" s="1" t="s">
        <v>34</v>
      </c>
      <c r="AK9" s="1" t="s">
        <v>41</v>
      </c>
      <c r="AL9" s="1" t="s">
        <v>42</v>
      </c>
      <c r="AM9" s="1" t="s">
        <v>43</v>
      </c>
      <c r="AN9" s="1" t="s">
        <v>44</v>
      </c>
      <c r="AO9" s="1" t="s">
        <v>45</v>
      </c>
      <c r="AP9" s="1" t="s">
        <v>46</v>
      </c>
      <c r="AQ9" s="1" t="s">
        <v>47</v>
      </c>
      <c r="AR9" s="1" t="s">
        <v>48</v>
      </c>
      <c r="AS9" s="1" t="s">
        <v>49</v>
      </c>
      <c r="AT9" s="1" t="s">
        <v>50</v>
      </c>
      <c r="AU9" s="1" t="s">
        <v>51</v>
      </c>
      <c r="AV9" s="1" t="s">
        <v>52</v>
      </c>
      <c r="AW9" s="1" t="s">
        <v>53</v>
      </c>
      <c r="AX9" s="1" t="s">
        <v>54</v>
      </c>
      <c r="AY9" s="1" t="s">
        <v>55</v>
      </c>
    </row>
    <row r="10" spans="1:51" s="19" customFormat="1" ht="117" customHeight="1">
      <c r="A10" s="16" t="s">
        <v>182</v>
      </c>
      <c r="B10" s="17" t="s">
        <v>114</v>
      </c>
      <c r="C10" s="17" t="s">
        <v>115</v>
      </c>
      <c r="D10" s="17" t="s">
        <v>116</v>
      </c>
      <c r="E10" s="17" t="s">
        <v>117</v>
      </c>
      <c r="F10" s="17" t="s">
        <v>118</v>
      </c>
      <c r="G10" s="17" t="s">
        <v>119</v>
      </c>
      <c r="H10" s="17" t="s">
        <v>120</v>
      </c>
      <c r="I10" s="17" t="s">
        <v>121</v>
      </c>
      <c r="J10" s="17" t="s">
        <v>122</v>
      </c>
      <c r="K10" s="17" t="s">
        <v>123</v>
      </c>
      <c r="L10" s="17" t="s">
        <v>124</v>
      </c>
      <c r="M10" s="17" t="s">
        <v>125</v>
      </c>
      <c r="N10" s="17" t="s">
        <v>126</v>
      </c>
      <c r="O10" s="17" t="s">
        <v>127</v>
      </c>
      <c r="P10" s="17" t="s">
        <v>128</v>
      </c>
      <c r="Q10" s="17" t="s">
        <v>129</v>
      </c>
      <c r="R10" s="17" t="s">
        <v>130</v>
      </c>
      <c r="S10" s="17" t="s">
        <v>131</v>
      </c>
      <c r="T10" s="17" t="s">
        <v>132</v>
      </c>
      <c r="U10" s="17" t="s">
        <v>133</v>
      </c>
      <c r="V10" s="17" t="s">
        <v>134</v>
      </c>
      <c r="W10" s="17" t="s">
        <v>135</v>
      </c>
      <c r="X10" s="17" t="s">
        <v>136</v>
      </c>
      <c r="Y10" s="17" t="s">
        <v>137</v>
      </c>
      <c r="Z10" s="17" t="s">
        <v>138</v>
      </c>
      <c r="AA10" s="17" t="s">
        <v>139</v>
      </c>
      <c r="AB10" s="17" t="s">
        <v>140</v>
      </c>
      <c r="AC10" s="17" t="s">
        <v>141</v>
      </c>
      <c r="AD10" s="17" t="s">
        <v>142</v>
      </c>
      <c r="AE10" s="17" t="s">
        <v>143</v>
      </c>
      <c r="AF10" s="17" t="s">
        <v>144</v>
      </c>
      <c r="AG10" s="17" t="s">
        <v>145</v>
      </c>
      <c r="AH10" s="17" t="s">
        <v>236</v>
      </c>
      <c r="AI10" s="17" t="s">
        <v>146</v>
      </c>
      <c r="AJ10" s="17" t="s">
        <v>147</v>
      </c>
      <c r="AK10" s="18" t="s">
        <v>148</v>
      </c>
      <c r="AL10" s="18" t="s">
        <v>149</v>
      </c>
      <c r="AM10" s="18" t="s">
        <v>150</v>
      </c>
      <c r="AN10" s="18" t="s">
        <v>151</v>
      </c>
      <c r="AO10" s="18" t="s">
        <v>152</v>
      </c>
      <c r="AP10" s="18" t="s">
        <v>153</v>
      </c>
      <c r="AQ10" s="18" t="s">
        <v>154</v>
      </c>
      <c r="AR10" s="18" t="s">
        <v>155</v>
      </c>
      <c r="AS10" s="36" t="s">
        <v>235</v>
      </c>
      <c r="AT10" s="18" t="s">
        <v>156</v>
      </c>
      <c r="AU10" s="18" t="s">
        <v>157</v>
      </c>
      <c r="AV10" s="18" t="s">
        <v>158</v>
      </c>
      <c r="AW10" s="18" t="s">
        <v>228</v>
      </c>
      <c r="AX10" s="18" t="s">
        <v>79</v>
      </c>
      <c r="AY10" s="18" t="s">
        <v>80</v>
      </c>
    </row>
    <row r="11" spans="1:51">
      <c r="A11">
        <v>1</v>
      </c>
      <c r="F11"/>
      <c r="J11"/>
      <c r="K11"/>
      <c r="M11"/>
      <c r="O11"/>
      <c r="P11"/>
      <c r="R11"/>
      <c r="V11"/>
      <c r="X11"/>
      <c r="Y11"/>
      <c r="Z11"/>
      <c r="AA11"/>
      <c r="AB11"/>
      <c r="AC11"/>
      <c r="AD11"/>
      <c r="AE11"/>
      <c r="AF11"/>
      <c r="AG11"/>
      <c r="AI11"/>
      <c r="AJ11"/>
      <c r="AR11" s="1"/>
      <c r="AS11" s="1"/>
      <c r="AT11" s="1"/>
      <c r="AU11" s="1"/>
      <c r="AV11" s="1"/>
      <c r="AW11" s="1"/>
      <c r="AX11" s="1"/>
      <c r="AY11" s="1"/>
    </row>
    <row r="12" spans="1:51">
      <c r="A12">
        <v>2</v>
      </c>
      <c r="F12"/>
      <c r="J12"/>
      <c r="K12"/>
      <c r="M12"/>
      <c r="O12"/>
      <c r="P12"/>
      <c r="R12"/>
      <c r="V12"/>
      <c r="X12"/>
      <c r="Y12"/>
      <c r="Z12"/>
      <c r="AA12"/>
      <c r="AB12"/>
      <c r="AC12"/>
      <c r="AD12"/>
      <c r="AE12"/>
      <c r="AF12"/>
      <c r="AG12"/>
      <c r="AI12"/>
      <c r="AJ12"/>
      <c r="AR12" s="1"/>
      <c r="AS12" s="1"/>
      <c r="AT12" s="1"/>
      <c r="AU12" s="1"/>
      <c r="AV12" s="1"/>
      <c r="AW12" s="1"/>
      <c r="AX12" s="1"/>
      <c r="AY12" s="1"/>
    </row>
    <row r="13" spans="1:51" s="1" customFormat="1">
      <c r="A13" s="1">
        <v>3</v>
      </c>
    </row>
    <row r="14" spans="1:51">
      <c r="A14" s="8">
        <v>4</v>
      </c>
      <c r="B14" s="2"/>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2"/>
      <c r="AI14" s="8"/>
      <c r="AJ14" s="8"/>
      <c r="AK14" s="8"/>
      <c r="AL14" s="8"/>
      <c r="AM14" s="8"/>
      <c r="AN14" s="8"/>
      <c r="AO14" s="8"/>
      <c r="AP14" s="8"/>
      <c r="AQ14" s="8"/>
      <c r="AR14" s="1"/>
      <c r="AS14" s="1"/>
      <c r="AT14" s="1"/>
      <c r="AU14" s="1"/>
      <c r="AV14" s="1"/>
      <c r="AW14" s="1"/>
      <c r="AX14" s="1"/>
      <c r="AY14" s="1"/>
    </row>
    <row r="15" spans="1:51">
      <c r="A15" s="8">
        <v>5</v>
      </c>
      <c r="B15" s="2"/>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2"/>
      <c r="AI15" s="8"/>
      <c r="AJ15" s="8"/>
      <c r="AK15" s="8"/>
      <c r="AL15" s="8"/>
      <c r="AM15" s="8"/>
      <c r="AN15" s="8"/>
      <c r="AO15" s="8"/>
      <c r="AP15" s="8"/>
      <c r="AQ15" s="8"/>
      <c r="AR15" s="2"/>
      <c r="AS15" s="2"/>
      <c r="AT15" s="2"/>
      <c r="AU15" s="2"/>
      <c r="AV15" s="2"/>
      <c r="AW15" s="2"/>
      <c r="AX15" s="2"/>
      <c r="AY15" s="2"/>
    </row>
    <row r="16" spans="1:51">
      <c r="A16" s="8">
        <v>6</v>
      </c>
      <c r="B16" s="2"/>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2"/>
      <c r="AI16" s="8"/>
      <c r="AJ16" s="8"/>
      <c r="AK16" s="8"/>
      <c r="AL16" s="8"/>
      <c r="AM16" s="8"/>
      <c r="AN16" s="8"/>
      <c r="AO16" s="8"/>
      <c r="AP16" s="8"/>
      <c r="AQ16" s="8"/>
      <c r="AR16" s="2"/>
      <c r="AS16" s="2"/>
      <c r="AT16" s="2"/>
      <c r="AU16" s="2"/>
      <c r="AV16" s="2"/>
      <c r="AW16" s="2"/>
      <c r="AX16" s="2"/>
      <c r="AY16" s="2"/>
    </row>
  </sheetData>
  <mergeCells count="15">
    <mergeCell ref="AR8:AT8"/>
    <mergeCell ref="B2:C2"/>
    <mergeCell ref="B3:C3"/>
    <mergeCell ref="B4:C4"/>
    <mergeCell ref="B5:C5"/>
    <mergeCell ref="B6:C6"/>
    <mergeCell ref="B7:C7"/>
    <mergeCell ref="AI8:AK8"/>
    <mergeCell ref="AL8:AQ8"/>
    <mergeCell ref="B8:E8"/>
    <mergeCell ref="F8:I8"/>
    <mergeCell ref="J8:R8"/>
    <mergeCell ref="S8:T8"/>
    <mergeCell ref="U8:AC8"/>
    <mergeCell ref="AD8:AG8"/>
  </mergeCells>
  <dataValidations count="12">
    <dataValidation type="list" allowBlank="1" showInputMessage="1" showErrorMessage="1" sqref="B11:B16">
      <formula1>Quest1</formula1>
    </dataValidation>
    <dataValidation type="list" allowBlank="1" showInputMessage="1" showErrorMessage="1" sqref="C11:AG16 AI11:AK16">
      <formula1>Quest2</formula1>
    </dataValidation>
    <dataValidation type="list" allowBlank="1" showInputMessage="1" showErrorMessage="1" sqref="AH11:AH16">
      <formula1>Quest33</formula1>
    </dataValidation>
    <dataValidation type="list" allowBlank="1" showInputMessage="1" showErrorMessage="1" sqref="AR11:AR16">
      <formula1>Quest43</formula1>
    </dataValidation>
    <dataValidation type="list" allowBlank="1" showInputMessage="1" showErrorMessage="1" sqref="AS11:AS16">
      <formula1>Quest44</formula1>
    </dataValidation>
    <dataValidation type="list" allowBlank="1" showInputMessage="1" showErrorMessage="1" sqref="AT11:AT16">
      <formula1>Quest45</formula1>
    </dataValidation>
    <dataValidation type="list" allowBlank="1" showInputMessage="1" showErrorMessage="1" sqref="AU11:AU16">
      <formula1>Quest46</formula1>
    </dataValidation>
    <dataValidation type="list" allowBlank="1" showInputMessage="1" showErrorMessage="1" sqref="AV11:AV16">
      <formula1>Quest47</formula1>
    </dataValidation>
    <dataValidation type="list" allowBlank="1" showInputMessage="1" showErrorMessage="1" sqref="AW11:AW16">
      <formula1>Quest48</formula1>
    </dataValidation>
    <dataValidation type="list" allowBlank="1" showInputMessage="1" showErrorMessage="1" sqref="AX11:AX16">
      <formula1>Quest49</formula1>
    </dataValidation>
    <dataValidation type="list" allowBlank="1" showInputMessage="1" showErrorMessage="1" sqref="AY11:AY16">
      <formula1>Quest50</formula1>
    </dataValidation>
    <dataValidation type="list" allowBlank="1" showInputMessage="1" showErrorMessage="1" sqref="AL11:AQ16">
      <formula1>Quest37</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dimension ref="A1:D445"/>
  <sheetViews>
    <sheetView topLeftCell="A324" zoomScaleNormal="100" workbookViewId="0">
      <selection activeCell="K393" sqref="K393"/>
    </sheetView>
  </sheetViews>
  <sheetFormatPr defaultRowHeight="15"/>
  <cols>
    <col min="1" max="1" width="25.7109375" style="1" customWidth="1"/>
    <col min="2" max="2" width="19.7109375" customWidth="1"/>
    <col min="3" max="4" width="19.7109375" style="9"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71" t="str">
        <f>'Survey Tool'!B5:C5</f>
        <v>Quarter 2 2018</v>
      </c>
      <c r="C5" s="71"/>
      <c r="D5" s="72"/>
    </row>
    <row r="6" spans="1:4">
      <c r="A6" s="4" t="str">
        <f>'Survey Tool'!A6</f>
        <v>No in Survey</v>
      </c>
      <c r="B6" s="66">
        <f>'Survey Tool'!B6:C6</f>
        <v>6</v>
      </c>
      <c r="C6" s="66"/>
      <c r="D6" s="62"/>
    </row>
    <row r="7" spans="1:4">
      <c r="A7" s="4" t="str">
        <f>'Survey Tool'!A7</f>
        <v>No of Residents</v>
      </c>
      <c r="B7" s="66">
        <f>'Survey Tool'!B7:C7</f>
        <v>8</v>
      </c>
      <c r="C7" s="66"/>
      <c r="D7" s="62"/>
    </row>
    <row r="9" spans="1:4">
      <c r="A9" s="56" t="s">
        <v>194</v>
      </c>
      <c r="B9" s="57"/>
      <c r="C9" s="57"/>
      <c r="D9" s="57"/>
    </row>
    <row r="10" spans="1:4">
      <c r="A10" s="66" t="str">
        <f>'Validation List'!B3</f>
        <v xml:space="preserve">How comfortable is your centre? </v>
      </c>
      <c r="B10" s="66"/>
      <c r="C10" s="66"/>
      <c r="D10" s="62"/>
    </row>
    <row r="11" spans="1:4">
      <c r="A11" s="5"/>
      <c r="B11" s="3" t="s">
        <v>37</v>
      </c>
      <c r="C11" s="10" t="s">
        <v>38</v>
      </c>
      <c r="D11" s="10" t="s">
        <v>40</v>
      </c>
    </row>
    <row r="12" spans="1:4">
      <c r="A12" s="5" t="str">
        <f>'Validation List'!B6</f>
        <v>Happy</v>
      </c>
      <c r="B12" s="3">
        <f>COUNTIF(Table2[How comfortable is your centre? ],A12)</f>
        <v>0</v>
      </c>
      <c r="C12" s="10">
        <f>B12/No_in_Audit*100</f>
        <v>0</v>
      </c>
      <c r="D12" s="10">
        <f>B12/(No_in_Audit-COUNTIF(Table2[How comfortable is your centre? ],"Not answered"))*100</f>
        <v>0</v>
      </c>
    </row>
    <row r="13" spans="1:4">
      <c r="A13" s="5" t="str">
        <f>'Validation List'!B7</f>
        <v>Neutral</v>
      </c>
      <c r="B13" s="3">
        <f>COUNTIF(Table2[How comfortable is your centre? ],A13)</f>
        <v>0</v>
      </c>
      <c r="C13" s="10">
        <f>B13/No_in_Audit*100</f>
        <v>0</v>
      </c>
      <c r="D13" s="10">
        <f>B13/(No_in_Audit-COUNTIF(Table2[How comfortable is your centre? ],"Not answered"))*100</f>
        <v>0</v>
      </c>
    </row>
    <row r="14" spans="1:4">
      <c r="A14" s="5" t="str">
        <f>'Validation List'!B8</f>
        <v>Unhappy</v>
      </c>
      <c r="B14" s="3">
        <f>COUNTIF(Table2[How comfortable is your centre? ],A14)</f>
        <v>0</v>
      </c>
      <c r="C14" s="10">
        <f>B14/No_in_Audit*100</f>
        <v>0</v>
      </c>
      <c r="D14" s="10">
        <f>B14/(No_in_Audit-COUNTIF(Table2[How comfortable is your centre? ],"Not answered"))*100</f>
        <v>0</v>
      </c>
    </row>
    <row r="15" spans="1:4" ht="15" customHeight="1">
      <c r="A15" s="5" t="str">
        <f>'Validation List'!B15</f>
        <v>Not answered</v>
      </c>
      <c r="B15" s="3">
        <f>COUNTIF(Table2[How comfortable is your centre? ],A15)</f>
        <v>0</v>
      </c>
      <c r="C15" s="10">
        <f>B15/No_in_Audit*100</f>
        <v>0</v>
      </c>
      <c r="D15" s="10"/>
    </row>
    <row r="16" spans="1:4">
      <c r="A16" s="5" t="s">
        <v>39</v>
      </c>
      <c r="B16" s="3">
        <f>SUM(B12:B15)</f>
        <v>0</v>
      </c>
      <c r="C16" s="10">
        <f>SUM(C12:C15)</f>
        <v>0</v>
      </c>
      <c r="D16" s="10">
        <f>SUM(D12:D15)</f>
        <v>0</v>
      </c>
    </row>
    <row r="18" spans="1:4">
      <c r="A18" s="56" t="s">
        <v>194</v>
      </c>
      <c r="B18" s="57"/>
      <c r="C18" s="57"/>
      <c r="D18" s="57"/>
    </row>
    <row r="19" spans="1:4">
      <c r="A19" s="67" t="str">
        <f>'Validation List'!C3</f>
        <v xml:space="preserve">How warm is your centre? </v>
      </c>
      <c r="B19" s="68"/>
      <c r="C19" s="68"/>
      <c r="D19" s="60"/>
    </row>
    <row r="20" spans="1:4">
      <c r="A20" s="5"/>
      <c r="B20" s="3" t="s">
        <v>37</v>
      </c>
      <c r="C20" s="10" t="s">
        <v>38</v>
      </c>
      <c r="D20" s="10" t="s">
        <v>40</v>
      </c>
    </row>
    <row r="21" spans="1:4" ht="15" customHeight="1">
      <c r="A21" s="5" t="str">
        <f>'Validation List'!C6</f>
        <v>Happy</v>
      </c>
      <c r="B21" s="3">
        <f>COUNTIF(Table2[How warm is your centre? ],A21)</f>
        <v>0</v>
      </c>
      <c r="C21" s="10">
        <f>B21/No_in_Audit*100</f>
        <v>0</v>
      </c>
      <c r="D21" s="10">
        <f>B21/(No_in_Audit-COUNTIF(Table2[How warm is your centre? ],"Not answered"))*100</f>
        <v>0</v>
      </c>
    </row>
    <row r="22" spans="1:4" ht="15" customHeight="1">
      <c r="A22" s="5" t="str">
        <f>'Validation List'!C7</f>
        <v>Neutral</v>
      </c>
      <c r="B22" s="3">
        <f>COUNTIF(Table2[How warm is your centre? ],A22)</f>
        <v>0</v>
      </c>
      <c r="C22" s="10">
        <f>B22/No_in_Audit*100</f>
        <v>0</v>
      </c>
      <c r="D22" s="10">
        <f>B22/(No_in_Audit-COUNTIF(Table2[How warm is your centre? ],"Not answered"))*100</f>
        <v>0</v>
      </c>
    </row>
    <row r="23" spans="1:4" ht="15" customHeight="1">
      <c r="A23" s="5" t="str">
        <f>'Validation List'!C8</f>
        <v>Unhappy</v>
      </c>
      <c r="B23" s="3">
        <f>COUNTIF(Table2[How warm is your centre? ],A23)</f>
        <v>0</v>
      </c>
      <c r="C23" s="10">
        <f>B23/No_in_Audit*100</f>
        <v>0</v>
      </c>
      <c r="D23" s="10">
        <f>B23/(No_in_Audit-COUNTIF(Table2[How warm is your centre? ],"Not answered"))*100</f>
        <v>0</v>
      </c>
    </row>
    <row r="24" spans="1:4">
      <c r="A24" s="5" t="str">
        <f>'Validation List'!C15</f>
        <v>Not answered</v>
      </c>
      <c r="B24" s="3">
        <f>COUNTIF(Table2[How warm is your centre? ],A24)</f>
        <v>0</v>
      </c>
      <c r="C24" s="10">
        <f>B24/No_in_Audit*100</f>
        <v>0</v>
      </c>
      <c r="D24" s="10"/>
    </row>
    <row r="25" spans="1:4">
      <c r="A25" s="5" t="s">
        <v>39</v>
      </c>
      <c r="B25" s="3">
        <f>SUM(B21:B24)</f>
        <v>0</v>
      </c>
      <c r="C25" s="10">
        <f>SUM(C21:C24)</f>
        <v>0</v>
      </c>
      <c r="D25" s="10">
        <f>SUM(D21:D24)</f>
        <v>0</v>
      </c>
    </row>
    <row r="28" spans="1:4">
      <c r="A28" s="56" t="s">
        <v>194</v>
      </c>
      <c r="B28" s="57"/>
      <c r="C28" s="57"/>
      <c r="D28" s="57"/>
    </row>
    <row r="29" spans="1:4">
      <c r="A29" s="67" t="str">
        <f>'Validation List'!D3</f>
        <v>Your access to shared areas where you can spend time with other residents or visitors?</v>
      </c>
      <c r="B29" s="68"/>
      <c r="C29" s="68"/>
      <c r="D29" s="60"/>
    </row>
    <row r="30" spans="1:4">
      <c r="A30" s="5"/>
      <c r="B30" s="3" t="s">
        <v>37</v>
      </c>
      <c r="C30" s="10" t="s">
        <v>38</v>
      </c>
      <c r="D30" s="10" t="s">
        <v>40</v>
      </c>
    </row>
    <row r="31" spans="1:4">
      <c r="A31" s="5" t="str">
        <f>'Validation List'!D6</f>
        <v>Happy</v>
      </c>
      <c r="B31" s="3">
        <f>COUNTIF(Table2[Your access to shared areas where you can spend time with other residents or visitors?],A31)</f>
        <v>0</v>
      </c>
      <c r="C31" s="10">
        <f>B31/No_in_Audit*100</f>
        <v>0</v>
      </c>
      <c r="D31" s="10">
        <f>B31/(No_in_Audit-COUNTIF(Table2[Your access to shared areas where you can spend time with other residents or visitors?],"Not answered"))*100</f>
        <v>0</v>
      </c>
    </row>
    <row r="32" spans="1:4">
      <c r="A32" s="5" t="str">
        <f>'Validation List'!D7</f>
        <v>Neutral</v>
      </c>
      <c r="B32" s="3">
        <f>COUNTIF(Table2[Your access to shared areas where you can spend time with other residents or visitors?],A32)</f>
        <v>0</v>
      </c>
      <c r="C32" s="10">
        <f>B32/No_in_Audit*100</f>
        <v>0</v>
      </c>
      <c r="D32" s="10">
        <f>B32/(No_in_Audit-COUNTIF(Table2[Your access to shared areas where you can spend time with other residents or visitors?],"Not answered"))*100</f>
        <v>0</v>
      </c>
    </row>
    <row r="33" spans="1:4">
      <c r="A33" s="5" t="str">
        <f>'Validation List'!D8</f>
        <v>Unhappy</v>
      </c>
      <c r="B33" s="3">
        <f>COUNTIF(Table2[Your access to shared areas where you can spend time with other residents or visitors?],A33)</f>
        <v>0</v>
      </c>
      <c r="C33" s="10">
        <f>B33/No_in_Audit*100</f>
        <v>0</v>
      </c>
      <c r="D33" s="10">
        <f>B33/(No_in_Audit-COUNTIF(Table2[Your access to shared areas where you can spend time with other residents or visitors?],"Not answered"))*100</f>
        <v>0</v>
      </c>
    </row>
    <row r="34" spans="1:4">
      <c r="A34" s="5" t="str">
        <f>'Validation List'!D15</f>
        <v>Not answered</v>
      </c>
      <c r="B34" s="3">
        <f>COUNTIF(Table2[Your access to shared areas where you can spend time with other residents or visitors?],A34)</f>
        <v>0</v>
      </c>
      <c r="C34" s="10">
        <f>B34/No_in_Audit*100</f>
        <v>0</v>
      </c>
      <c r="D34" s="10"/>
    </row>
    <row r="35" spans="1:4">
      <c r="A35" s="5" t="s">
        <v>39</v>
      </c>
      <c r="B35" s="3">
        <f>SUM(B31:B34)</f>
        <v>0</v>
      </c>
      <c r="C35" s="10">
        <f>SUM(C31:C34)</f>
        <v>0</v>
      </c>
      <c r="D35" s="10">
        <f>SUM(D31:D34)</f>
        <v>0</v>
      </c>
    </row>
    <row r="37" spans="1:4">
      <c r="A37" s="56" t="s">
        <v>194</v>
      </c>
      <c r="B37" s="57"/>
      <c r="C37" s="57"/>
      <c r="D37" s="57"/>
    </row>
    <row r="38" spans="1:4" s="1" customFormat="1" ht="29.25" customHeight="1">
      <c r="A38" s="58" t="str">
        <f>'Validation List'!E3</f>
        <v>Your access to a garden or outdoor area?</v>
      </c>
      <c r="B38" s="59"/>
      <c r="C38" s="59"/>
      <c r="D38" s="65"/>
    </row>
    <row r="39" spans="1:4">
      <c r="A39" s="5"/>
      <c r="B39" s="3" t="s">
        <v>37</v>
      </c>
      <c r="C39" s="10" t="s">
        <v>38</v>
      </c>
      <c r="D39" s="10" t="s">
        <v>40</v>
      </c>
    </row>
    <row r="40" spans="1:4">
      <c r="A40" s="5" t="str">
        <f>'Validation List'!E6</f>
        <v>Happy</v>
      </c>
      <c r="B40" s="3">
        <f>COUNTIF(Table2[Your access to a garden or outdoor area?],A40)</f>
        <v>0</v>
      </c>
      <c r="C40" s="10">
        <f>B40/No_in_Audit*100</f>
        <v>0</v>
      </c>
      <c r="D40" s="10">
        <f>B40/(No_in_Audit-COUNTIF(Table2[Your access to a garden or outdoor area?],"Not answered"))*100</f>
        <v>0</v>
      </c>
    </row>
    <row r="41" spans="1:4">
      <c r="A41" s="5" t="str">
        <f>'Validation List'!E7</f>
        <v>Neutral</v>
      </c>
      <c r="B41" s="3">
        <f>COUNTIF(Table2[Your access to a garden or outdoor area?],A41)</f>
        <v>0</v>
      </c>
      <c r="C41" s="10">
        <f>B41/No_in_Audit*100</f>
        <v>0</v>
      </c>
      <c r="D41" s="10">
        <f>B41/(No_in_Audit-COUNTIF(Table2[Your access to a garden or outdoor area?],"Not answered"))*100</f>
        <v>0</v>
      </c>
    </row>
    <row r="42" spans="1:4">
      <c r="A42" s="5" t="str">
        <f>'Validation List'!E8</f>
        <v>Unhappy</v>
      </c>
      <c r="B42" s="3">
        <f>COUNTIF(Table2[Your access to a garden or outdoor area?],A42)</f>
        <v>0</v>
      </c>
      <c r="C42" s="10">
        <f>B42/No_in_Audit*100</f>
        <v>0</v>
      </c>
      <c r="D42" s="10">
        <f>B42/(No_in_Audit-COUNTIF(Table2[Your access to a garden or outdoor area?],"Not answered"))*100</f>
        <v>0</v>
      </c>
    </row>
    <row r="43" spans="1:4">
      <c r="A43" s="5" t="str">
        <f>'Validation List'!E15</f>
        <v>Not answered</v>
      </c>
      <c r="B43" s="3">
        <f>COUNTIF(Table2[Your access to a garden or outdoor area?],A43)</f>
        <v>0</v>
      </c>
      <c r="C43" s="10">
        <f>B43/No_in_Audit*100</f>
        <v>0</v>
      </c>
      <c r="D43" s="10"/>
    </row>
    <row r="44" spans="1:4">
      <c r="A44" s="5" t="s">
        <v>39</v>
      </c>
      <c r="B44" s="3">
        <f>SUM(B40:B43)</f>
        <v>0</v>
      </c>
      <c r="C44" s="10">
        <f>SUM(C40:C43)</f>
        <v>0</v>
      </c>
      <c r="D44" s="10">
        <f>SUM(D40:D43)</f>
        <v>0</v>
      </c>
    </row>
    <row r="46" spans="1:4">
      <c r="A46" s="56" t="s">
        <v>195</v>
      </c>
      <c r="B46" s="57"/>
      <c r="C46" s="57"/>
      <c r="D46" s="57"/>
    </row>
    <row r="47" spans="1:4">
      <c r="A47" s="58" t="str">
        <f>'Validation List'!F3</f>
        <v>Your bedroom?</v>
      </c>
      <c r="B47" s="59"/>
      <c r="C47" s="59"/>
      <c r="D47" s="60"/>
    </row>
    <row r="48" spans="1:4">
      <c r="A48" s="5"/>
      <c r="B48" s="3" t="s">
        <v>37</v>
      </c>
      <c r="C48" s="10" t="s">
        <v>38</v>
      </c>
      <c r="D48" s="10" t="s">
        <v>40</v>
      </c>
    </row>
    <row r="49" spans="1:4">
      <c r="A49" s="5" t="str">
        <f>'Validation List'!F6</f>
        <v>Happy</v>
      </c>
      <c r="B49" s="3">
        <f>COUNTIF(Table2[Your bedroom?],A49)</f>
        <v>0</v>
      </c>
      <c r="C49" s="10">
        <f>B49/No_in_Audit*100</f>
        <v>0</v>
      </c>
      <c r="D49" s="10">
        <f>B49/(No_in_Audit-COUNTIF(Table2[Your bedroom?],"Not answered"))*100</f>
        <v>0</v>
      </c>
    </row>
    <row r="50" spans="1:4">
      <c r="A50" s="5" t="str">
        <f>'Validation List'!F7</f>
        <v>Neutral</v>
      </c>
      <c r="B50" s="3">
        <f>COUNTIF(Table2[Your bedroom?],A50)</f>
        <v>0</v>
      </c>
      <c r="C50" s="10">
        <f>B50/No_in_Audit*100</f>
        <v>0</v>
      </c>
      <c r="D50" s="10">
        <f>B50/(No_in_Audit-COUNTIF(Table2[Your bedroom?],"Not answered"))*100</f>
        <v>0</v>
      </c>
    </row>
    <row r="51" spans="1:4">
      <c r="A51" s="5" t="str">
        <f>'Validation List'!F8</f>
        <v>Unhappy</v>
      </c>
      <c r="B51" s="3">
        <f>COUNTIF(Table2[Your bedroom?],A51)</f>
        <v>0</v>
      </c>
      <c r="C51" s="10">
        <f>B51/No_in_Audit*100</f>
        <v>0</v>
      </c>
      <c r="D51" s="10">
        <f>B51/(No_in_Audit-COUNTIF(Table2[Your bedroom?],"Not answered"))*100</f>
        <v>0</v>
      </c>
    </row>
    <row r="52" spans="1:4">
      <c r="A52" s="5" t="str">
        <f>'Validation List'!F15</f>
        <v>Not answered</v>
      </c>
      <c r="B52" s="3">
        <f>COUNTIF(Table2[Your bedroom?],A52)</f>
        <v>0</v>
      </c>
      <c r="C52" s="10">
        <f>B52/No_in_Audit*100</f>
        <v>0</v>
      </c>
      <c r="D52" s="10"/>
    </row>
    <row r="53" spans="1:4">
      <c r="A53" s="5" t="s">
        <v>39</v>
      </c>
      <c r="B53" s="3">
        <f>SUM(B49:B52)</f>
        <v>0</v>
      </c>
      <c r="C53" s="10">
        <f>SUM(C49:C52)</f>
        <v>0</v>
      </c>
      <c r="D53" s="10">
        <f>SUM(D49:D52)</f>
        <v>0</v>
      </c>
    </row>
    <row r="55" spans="1:4">
      <c r="A55" s="56" t="s">
        <v>195</v>
      </c>
      <c r="B55" s="57"/>
      <c r="C55" s="57"/>
      <c r="D55" s="57"/>
    </row>
    <row r="56" spans="1:4">
      <c r="A56" s="58" t="str">
        <f>'Validation List'!G3</f>
        <v>The amount of space you have for your belongings?</v>
      </c>
      <c r="B56" s="59"/>
      <c r="C56" s="59"/>
      <c r="D56" s="60"/>
    </row>
    <row r="57" spans="1:4">
      <c r="A57" s="5"/>
      <c r="B57" s="3" t="s">
        <v>37</v>
      </c>
      <c r="C57" s="10" t="s">
        <v>38</v>
      </c>
      <c r="D57" s="10" t="s">
        <v>40</v>
      </c>
    </row>
    <row r="58" spans="1:4">
      <c r="A58" s="5" t="str">
        <f>'Validation List'!G6</f>
        <v>Happy</v>
      </c>
      <c r="B58" s="3">
        <f>COUNTIF(Table2[The amount of space you have for your belongings?],A58)</f>
        <v>0</v>
      </c>
      <c r="C58" s="10">
        <f>B58/No_in_Audit*100</f>
        <v>0</v>
      </c>
      <c r="D58" s="10">
        <f>B58/(No_in_Audit-COUNTIF(Table2[The amount of space you have for your belongings?],"Not answered"))*100</f>
        <v>0</v>
      </c>
    </row>
    <row r="59" spans="1:4">
      <c r="A59" s="5" t="str">
        <f>'Validation List'!G7</f>
        <v>Neutral</v>
      </c>
      <c r="B59" s="3">
        <f>COUNTIF(Table2[The amount of space you have for your belongings?],A59)</f>
        <v>0</v>
      </c>
      <c r="C59" s="10">
        <f>B59/No_in_Audit*100</f>
        <v>0</v>
      </c>
      <c r="D59" s="10">
        <f>B59/(No_in_Audit-COUNTIF(Table2[The amount of space you have for your belongings?],"Not answered"))*100</f>
        <v>0</v>
      </c>
    </row>
    <row r="60" spans="1:4">
      <c r="A60" s="5" t="str">
        <f>'Validation List'!G8</f>
        <v>Unhappy</v>
      </c>
      <c r="B60" s="3">
        <f>COUNTIF(Table2[The amount of space you have for your belongings?],A60)</f>
        <v>0</v>
      </c>
      <c r="C60" s="10">
        <f>B60/No_in_Audit*100</f>
        <v>0</v>
      </c>
      <c r="D60" s="10">
        <f>B60/(No_in_Audit-COUNTIF(Table2[The amount of space you have for your belongings?],"Not answered"))*100</f>
        <v>0</v>
      </c>
    </row>
    <row r="61" spans="1:4">
      <c r="A61" s="5" t="str">
        <f>'Validation List'!G15</f>
        <v>Not answered</v>
      </c>
      <c r="B61" s="3">
        <f>COUNTIF(Table2[The amount of space you have for your belongings?],A61)</f>
        <v>0</v>
      </c>
      <c r="C61" s="10">
        <f>B61/No_in_Audit*100</f>
        <v>0</v>
      </c>
      <c r="D61" s="10"/>
    </row>
    <row r="62" spans="1:4">
      <c r="A62" s="5" t="s">
        <v>39</v>
      </c>
      <c r="B62" s="3">
        <f>SUM(B58:B61)</f>
        <v>0</v>
      </c>
      <c r="C62" s="10">
        <f>SUM(C58:C61)</f>
        <v>0</v>
      </c>
      <c r="D62" s="10">
        <f>SUM(D58:D61)</f>
        <v>0</v>
      </c>
    </row>
    <row r="64" spans="1:4">
      <c r="A64" s="56" t="s">
        <v>195</v>
      </c>
      <c r="B64" s="57"/>
      <c r="C64" s="57"/>
      <c r="D64" s="57"/>
    </row>
    <row r="65" spans="1:4">
      <c r="A65" s="61" t="str">
        <f>'Validation List'!H3</f>
        <v>The security of your belongings?</v>
      </c>
      <c r="B65" s="61"/>
      <c r="C65" s="61"/>
      <c r="D65" s="62"/>
    </row>
    <row r="66" spans="1:4">
      <c r="A66" s="5"/>
      <c r="B66" s="3" t="s">
        <v>37</v>
      </c>
      <c r="C66" s="10" t="s">
        <v>38</v>
      </c>
      <c r="D66" s="10" t="s">
        <v>40</v>
      </c>
    </row>
    <row r="67" spans="1:4">
      <c r="A67" s="5" t="str">
        <f>'Validation List'!H6</f>
        <v>Happy</v>
      </c>
      <c r="B67" s="3">
        <f>COUNTIF(Table2[The security of your belongings?],A67)</f>
        <v>0</v>
      </c>
      <c r="C67" s="10">
        <f>B67/No_in_Audit*100</f>
        <v>0</v>
      </c>
      <c r="D67" s="10">
        <f>B67/(No_in_Audit-COUNTIF(Table2[The security of your belongings?],"Not answered")-COUNTIF(Table2[The security of your belongings?],"N/A"))*100</f>
        <v>0</v>
      </c>
    </row>
    <row r="68" spans="1:4">
      <c r="A68" s="5" t="str">
        <f>'Validation List'!H7</f>
        <v>Neutral</v>
      </c>
      <c r="B68" s="3">
        <f>COUNTIF(Table2[The security of your belongings?],A68)</f>
        <v>0</v>
      </c>
      <c r="C68" s="10">
        <f>B68/No_in_Audit*100</f>
        <v>0</v>
      </c>
      <c r="D68" s="10">
        <f>B68/(No_in_Audit-COUNTIF(Table2[The security of your belongings?],"Not answered")-COUNTIF(Table2[The security of your belongings?],"N/A"))*100</f>
        <v>0</v>
      </c>
    </row>
    <row r="69" spans="1:4">
      <c r="A69" s="5" t="str">
        <f>'Validation List'!H8</f>
        <v>Unhappy</v>
      </c>
      <c r="B69" s="3">
        <f>COUNTIF(Table2[The security of your belongings?],A69)</f>
        <v>0</v>
      </c>
      <c r="C69" s="10">
        <f>B69/No_in_Audit*100</f>
        <v>0</v>
      </c>
      <c r="D69" s="10">
        <f>B69/(No_in_Audit-COUNTIF(Table2[The security of your belongings?],"Not answered")-COUNTIF(Table2[The security of your belongings?],"N/A"))*100</f>
        <v>0</v>
      </c>
    </row>
    <row r="70" spans="1:4">
      <c r="A70" s="5" t="str">
        <f>'Validation List'!H15</f>
        <v>Not answered</v>
      </c>
      <c r="B70" s="3">
        <f>COUNTIF(Table2[The security of your belongings?],A70)</f>
        <v>0</v>
      </c>
      <c r="C70" s="10">
        <f>B70/No_in_Audit*100</f>
        <v>0</v>
      </c>
      <c r="D70" s="10"/>
    </row>
    <row r="71" spans="1:4">
      <c r="A71" s="5" t="s">
        <v>39</v>
      </c>
      <c r="B71" s="3">
        <f>SUM(B67:B70)</f>
        <v>0</v>
      </c>
      <c r="C71" s="10">
        <f>SUM(C67:C70)</f>
        <v>0</v>
      </c>
      <c r="D71" s="10">
        <f>SUM(D67:D70)</f>
        <v>0</v>
      </c>
    </row>
    <row r="73" spans="1:4">
      <c r="A73" s="56" t="s">
        <v>195</v>
      </c>
      <c r="B73" s="57"/>
      <c r="C73" s="57"/>
      <c r="D73" s="57"/>
    </row>
    <row r="74" spans="1:4" ht="27" customHeight="1">
      <c r="A74" s="61" t="str">
        <f>'Validation List'!I3</f>
        <v>Your laundry facilities?</v>
      </c>
      <c r="B74" s="61"/>
      <c r="C74" s="61"/>
      <c r="D74" s="62"/>
    </row>
    <row r="75" spans="1:4">
      <c r="A75" s="5"/>
      <c r="B75" s="3" t="s">
        <v>37</v>
      </c>
      <c r="C75" s="10" t="s">
        <v>38</v>
      </c>
      <c r="D75" s="10" t="s">
        <v>40</v>
      </c>
    </row>
    <row r="76" spans="1:4">
      <c r="A76" s="5" t="str">
        <f>'Validation List'!I6</f>
        <v>Happy</v>
      </c>
      <c r="B76" s="3">
        <f>COUNTIF(Table2[Your laundry facilities?],A76)</f>
        <v>0</v>
      </c>
      <c r="C76" s="10">
        <f>B76/No_in_Audit*100</f>
        <v>0</v>
      </c>
      <c r="D76" s="10">
        <f>B76/(No_in_Audit-COUNTIF(Table2[Your laundry facilities?],"Not answered"))*100</f>
        <v>0</v>
      </c>
    </row>
    <row r="77" spans="1:4">
      <c r="A77" s="5" t="str">
        <f>'Validation List'!I7</f>
        <v>Neutral</v>
      </c>
      <c r="B77" s="3">
        <f>COUNTIF(Table2[Your laundry facilities?],A77)</f>
        <v>0</v>
      </c>
      <c r="C77" s="10">
        <f>B77/No_in_Audit*100</f>
        <v>0</v>
      </c>
      <c r="D77" s="10">
        <f>B77/(No_in_Audit-COUNTIF(Table2[Your laundry facilities?],"Not answered"))*100</f>
        <v>0</v>
      </c>
    </row>
    <row r="78" spans="1:4">
      <c r="A78" s="5" t="str">
        <f>'Validation List'!I8</f>
        <v>Unhappy</v>
      </c>
      <c r="B78" s="3">
        <f>COUNTIF(Table2[Your laundry facilities?],A78)</f>
        <v>0</v>
      </c>
      <c r="C78" s="10">
        <f>B78/No_in_Audit*100</f>
        <v>0</v>
      </c>
      <c r="D78" s="10">
        <f>B78/(No_in_Audit-COUNTIF(Table2[Your laundry facilities?],"Not answered"))*100</f>
        <v>0</v>
      </c>
    </row>
    <row r="79" spans="1:4">
      <c r="A79" s="5" t="str">
        <f>'Validation List'!I15</f>
        <v>Not answered</v>
      </c>
      <c r="B79" s="3">
        <f>COUNTIF(Table2[Your laundry facilities?],A79)</f>
        <v>0</v>
      </c>
      <c r="C79" s="10">
        <f>B79/No_in_Audit*100</f>
        <v>0</v>
      </c>
      <c r="D79" s="10"/>
    </row>
    <row r="80" spans="1:4">
      <c r="A80" s="5" t="s">
        <v>39</v>
      </c>
      <c r="B80" s="3">
        <f>SUM(B76:B79)</f>
        <v>0</v>
      </c>
      <c r="C80" s="10">
        <f>SUM(C76:C79)</f>
        <v>0</v>
      </c>
      <c r="D80" s="10">
        <f>SUM(D76:D79)</f>
        <v>0</v>
      </c>
    </row>
    <row r="82" spans="1:4">
      <c r="A82" s="57" t="s">
        <v>196</v>
      </c>
      <c r="B82" s="63"/>
      <c r="C82" s="63"/>
      <c r="D82" s="63"/>
    </row>
    <row r="83" spans="1:4">
      <c r="A83" s="58" t="str">
        <f>'Validation List'!J3</f>
        <v>Taste of the food?</v>
      </c>
      <c r="B83" s="59"/>
      <c r="C83" s="59"/>
      <c r="D83" s="60"/>
    </row>
    <row r="84" spans="1:4">
      <c r="A84" s="5"/>
      <c r="B84" s="3" t="s">
        <v>37</v>
      </c>
      <c r="C84" s="10" t="s">
        <v>38</v>
      </c>
      <c r="D84" s="10" t="s">
        <v>40</v>
      </c>
    </row>
    <row r="85" spans="1:4">
      <c r="A85" s="5" t="str">
        <f>'Validation List'!J6</f>
        <v>Happy</v>
      </c>
      <c r="B85" s="3">
        <f>COUNTIF(Table2[Taste of the food?],A85)</f>
        <v>0</v>
      </c>
      <c r="C85" s="10">
        <f>B85/No_in_Audit*100</f>
        <v>0</v>
      </c>
      <c r="D85" s="10">
        <f>B85/(No_in_Audit-COUNTIF(Table2[Taste of the food?],"Not answered"))*100</f>
        <v>0</v>
      </c>
    </row>
    <row r="86" spans="1:4">
      <c r="A86" s="5" t="str">
        <f>'Validation List'!J7</f>
        <v>Neutral</v>
      </c>
      <c r="B86" s="3">
        <f>COUNTIF(Table2[Taste of the food?],A86)</f>
        <v>0</v>
      </c>
      <c r="C86" s="10">
        <f>B86/No_in_Audit*100</f>
        <v>0</v>
      </c>
      <c r="D86" s="10">
        <f>B86/(No_in_Audit-COUNTIF(Table2[Taste of the food?],"Not answered"))*100</f>
        <v>0</v>
      </c>
    </row>
    <row r="87" spans="1:4">
      <c r="A87" s="5" t="str">
        <f>'Validation List'!J8</f>
        <v>Unhappy</v>
      </c>
      <c r="B87" s="3">
        <f>COUNTIF(Table2[Taste of the food?],A87)</f>
        <v>0</v>
      </c>
      <c r="C87" s="10">
        <f>B87/No_in_Audit*100</f>
        <v>0</v>
      </c>
      <c r="D87" s="10">
        <f>B87/(No_in_Audit-COUNTIF(Table2[Taste of the food?],"Not answered"))*100</f>
        <v>0</v>
      </c>
    </row>
    <row r="88" spans="1:4">
      <c r="A88" s="5" t="str">
        <f>'Validation List'!J15</f>
        <v>Not answered</v>
      </c>
      <c r="B88" s="3">
        <f>COUNTIF(Table2[Taste of the food?],A88)</f>
        <v>0</v>
      </c>
      <c r="C88" s="10">
        <f>B88/No_in_Audit*100</f>
        <v>0</v>
      </c>
      <c r="D88" s="10"/>
    </row>
    <row r="89" spans="1:4">
      <c r="A89" s="5" t="s">
        <v>39</v>
      </c>
      <c r="B89" s="3">
        <f>SUM(B85:B88)</f>
        <v>0</v>
      </c>
      <c r="C89" s="10">
        <f>SUM(C85:C88)</f>
        <v>0</v>
      </c>
      <c r="D89" s="10">
        <f>SUM(D85:D88)</f>
        <v>0</v>
      </c>
    </row>
    <row r="91" spans="1:4">
      <c r="A91" s="57" t="s">
        <v>196</v>
      </c>
      <c r="B91" s="63"/>
      <c r="C91" s="63"/>
      <c r="D91" s="63"/>
    </row>
    <row r="92" spans="1:4" ht="27" customHeight="1">
      <c r="A92" s="58" t="str">
        <f>'Validation List'!K3</f>
        <v>Choice of food?</v>
      </c>
      <c r="B92" s="59"/>
      <c r="C92" s="59"/>
      <c r="D92" s="60"/>
    </row>
    <row r="93" spans="1:4">
      <c r="A93" s="5"/>
      <c r="B93" s="3" t="s">
        <v>37</v>
      </c>
      <c r="C93" s="10" t="s">
        <v>38</v>
      </c>
      <c r="D93" s="10" t="s">
        <v>40</v>
      </c>
    </row>
    <row r="94" spans="1:4">
      <c r="A94" s="5" t="str">
        <f>'Validation List'!K6</f>
        <v>Happy</v>
      </c>
      <c r="B94" s="3">
        <f>COUNTIF(Table2[Choice of food?],A94)</f>
        <v>0</v>
      </c>
      <c r="C94" s="10">
        <f>B94/No_in_Audit*100</f>
        <v>0</v>
      </c>
      <c r="D94" s="10">
        <f>B94/(No_in_Audit-COUNTIF(Table2[Choice of food?],"Not answered"))*100</f>
        <v>0</v>
      </c>
    </row>
    <row r="95" spans="1:4">
      <c r="A95" s="5" t="str">
        <f>'Validation List'!K7</f>
        <v>Neutral</v>
      </c>
      <c r="B95" s="3">
        <f>COUNTIF(Table2[Choice of food?],A95)</f>
        <v>0</v>
      </c>
      <c r="C95" s="10">
        <f>B95/No_in_Audit*100</f>
        <v>0</v>
      </c>
      <c r="D95" s="10">
        <f>B95/(No_in_Audit-COUNTIF(Table2[Choice of food?],"Not answered"))*100</f>
        <v>0</v>
      </c>
    </row>
    <row r="96" spans="1:4">
      <c r="A96" s="5" t="str">
        <f>'Validation List'!K8</f>
        <v>Unhappy</v>
      </c>
      <c r="B96" s="3">
        <f>COUNTIF(Table2[Choice of food?],A96)</f>
        <v>0</v>
      </c>
      <c r="C96" s="10">
        <f>B96/No_in_Audit*100</f>
        <v>0</v>
      </c>
      <c r="D96" s="10">
        <f>B96/(No_in_Audit-COUNTIF(Table2[Choice of food?],"Not answered"))*100</f>
        <v>0</v>
      </c>
    </row>
    <row r="97" spans="1:4">
      <c r="A97" s="5" t="str">
        <f>'Validation List'!K15</f>
        <v>Not answered</v>
      </c>
      <c r="B97" s="3">
        <f>COUNTIF(Table2[Choice of food?],A97)</f>
        <v>0</v>
      </c>
      <c r="C97" s="10">
        <f>B97/No_in_Audit*100</f>
        <v>0</v>
      </c>
      <c r="D97" s="10"/>
    </row>
    <row r="98" spans="1:4">
      <c r="A98" s="5" t="s">
        <v>39</v>
      </c>
      <c r="B98" s="3">
        <f>SUM(B94:B97)</f>
        <v>0</v>
      </c>
      <c r="C98" s="10">
        <f>SUM(C94:C97)</f>
        <v>0</v>
      </c>
      <c r="D98" s="10">
        <f>SUM(D94:D97)</f>
        <v>0</v>
      </c>
    </row>
    <row r="100" spans="1:4">
      <c r="A100" s="57" t="s">
        <v>196</v>
      </c>
      <c r="B100" s="63"/>
      <c r="C100" s="63"/>
      <c r="D100" s="63"/>
    </row>
    <row r="101" spans="1:4">
      <c r="A101" s="61" t="str">
        <f>'Validation List'!L3</f>
        <v>Amount of food?</v>
      </c>
      <c r="B101" s="61"/>
      <c r="C101" s="61"/>
      <c r="D101" s="62"/>
    </row>
    <row r="102" spans="1:4">
      <c r="A102" s="5"/>
      <c r="B102" s="3" t="s">
        <v>37</v>
      </c>
      <c r="C102" s="10" t="s">
        <v>38</v>
      </c>
      <c r="D102" s="10" t="s">
        <v>40</v>
      </c>
    </row>
    <row r="103" spans="1:4">
      <c r="A103" s="5" t="str">
        <f>'Validation List'!L6</f>
        <v>Happy</v>
      </c>
      <c r="B103" s="3">
        <f>COUNTIF(Table2[Amount of food?],A103)</f>
        <v>0</v>
      </c>
      <c r="C103" s="10">
        <f>B103/No_in_Audit*100</f>
        <v>0</v>
      </c>
      <c r="D103" s="10">
        <f>B103/(No_in_Audit-COUNTIF(Table2[Amount of food?],"Not answered"))*100</f>
        <v>0</v>
      </c>
    </row>
    <row r="104" spans="1:4">
      <c r="A104" s="5" t="str">
        <f>'Validation List'!L7</f>
        <v>Neutral</v>
      </c>
      <c r="B104" s="3">
        <f>COUNTIF(Table2[Amount of food?],A104)</f>
        <v>0</v>
      </c>
      <c r="C104" s="10">
        <f>B104/No_in_Audit*100</f>
        <v>0</v>
      </c>
      <c r="D104" s="10">
        <f>B104/(No_in_Audit-COUNTIF(Table2[Amount of food?],"Not answered"))*100</f>
        <v>0</v>
      </c>
    </row>
    <row r="105" spans="1:4">
      <c r="A105" s="5" t="str">
        <f>'Validation List'!L8</f>
        <v>Unhappy</v>
      </c>
      <c r="B105" s="3">
        <f>COUNTIF(Table2[Amount of food?],A105)</f>
        <v>0</v>
      </c>
      <c r="C105" s="10">
        <f>B105/No_in_Audit*100</f>
        <v>0</v>
      </c>
      <c r="D105" s="10">
        <f>B105/(No_in_Audit-COUNTIF(Table2[Amount of food?],"Not answered"))*100</f>
        <v>0</v>
      </c>
    </row>
    <row r="106" spans="1:4">
      <c r="A106" s="5" t="str">
        <f>'Validation List'!L15</f>
        <v>Not answered</v>
      </c>
      <c r="B106" s="3">
        <f>COUNTIF(Table2[Amount of food?],A106)</f>
        <v>0</v>
      </c>
      <c r="C106" s="10">
        <f>B106/No_in_Audit*100</f>
        <v>0</v>
      </c>
      <c r="D106" s="10"/>
    </row>
    <row r="107" spans="1:4">
      <c r="A107" s="5" t="s">
        <v>39</v>
      </c>
      <c r="B107" s="3">
        <f>SUM(B103:B106)</f>
        <v>0</v>
      </c>
      <c r="C107" s="10">
        <f>SUM(C103:C106)</f>
        <v>0</v>
      </c>
      <c r="D107" s="10">
        <f>SUM(D103:D106)</f>
        <v>0</v>
      </c>
    </row>
    <row r="109" spans="1:4">
      <c r="A109" s="57" t="s">
        <v>196</v>
      </c>
      <c r="B109" s="63"/>
      <c r="C109" s="63"/>
      <c r="D109" s="63"/>
    </row>
    <row r="110" spans="1:4" ht="26.25" customHeight="1">
      <c r="A110" s="61" t="str">
        <f>'Validation List'!M3</f>
        <v>Temperature of the food?</v>
      </c>
      <c r="B110" s="61"/>
      <c r="C110" s="61"/>
      <c r="D110" s="62"/>
    </row>
    <row r="111" spans="1:4">
      <c r="A111" s="5"/>
      <c r="B111" s="3" t="s">
        <v>37</v>
      </c>
      <c r="C111" s="10" t="s">
        <v>38</v>
      </c>
      <c r="D111" s="10" t="s">
        <v>40</v>
      </c>
    </row>
    <row r="112" spans="1:4">
      <c r="A112" s="5" t="str">
        <f>'Validation List'!M6</f>
        <v>Happy</v>
      </c>
      <c r="B112" s="3">
        <f>COUNTIF(Table2[Temperature of the food?],A112)</f>
        <v>0</v>
      </c>
      <c r="C112" s="10">
        <f>B112/No_in_Audit*100</f>
        <v>0</v>
      </c>
      <c r="D112" s="10">
        <f>B112/(No_in_Audit-COUNTIF(Table2[Temperature of the food?],"Not answered"))*100</f>
        <v>0</v>
      </c>
    </row>
    <row r="113" spans="1:4">
      <c r="A113" s="5" t="str">
        <f>'Validation List'!M7</f>
        <v>Neutral</v>
      </c>
      <c r="B113" s="3">
        <f>COUNTIF(Table2[Temperature of the food?],A113)</f>
        <v>0</v>
      </c>
      <c r="C113" s="10">
        <f>B113/No_in_Audit*100</f>
        <v>0</v>
      </c>
      <c r="D113" s="10">
        <f>B113/(No_in_Audit-COUNTIF(Table2[Temperature of the food?],"Not answered"))*100</f>
        <v>0</v>
      </c>
    </row>
    <row r="114" spans="1:4">
      <c r="A114" s="5" t="str">
        <f>'Validation List'!M8</f>
        <v>Unhappy</v>
      </c>
      <c r="B114" s="3">
        <f>COUNTIF(Table2[Temperature of the food?],A114)</f>
        <v>0</v>
      </c>
      <c r="C114" s="10">
        <f>B114/No_in_Audit*100</f>
        <v>0</v>
      </c>
      <c r="D114" s="10">
        <f>B114/(No_in_Audit-COUNTIF(Table2[Temperature of the food?],"Not answered"))*100</f>
        <v>0</v>
      </c>
    </row>
    <row r="115" spans="1:4">
      <c r="A115" s="5" t="str">
        <f>'Validation List'!M15</f>
        <v>Not answered</v>
      </c>
      <c r="B115" s="3">
        <f>COUNTIF(Table2[Temperature of the food?],A115)</f>
        <v>0</v>
      </c>
      <c r="C115" s="10">
        <f>B115/No_in_Audit*100</f>
        <v>0</v>
      </c>
      <c r="D115" s="10"/>
    </row>
    <row r="116" spans="1:4">
      <c r="A116" s="5" t="s">
        <v>39</v>
      </c>
      <c r="B116" s="3">
        <f>SUM(B112:B115)</f>
        <v>0</v>
      </c>
      <c r="C116" s="10">
        <f>SUM(C112:C115)</f>
        <v>0</v>
      </c>
      <c r="D116" s="10">
        <f>SUM(D112:D115)</f>
        <v>0</v>
      </c>
    </row>
    <row r="118" spans="1:4">
      <c r="A118" s="57" t="s">
        <v>196</v>
      </c>
      <c r="B118" s="63"/>
      <c r="C118" s="63"/>
      <c r="D118" s="63"/>
    </row>
    <row r="119" spans="1:4">
      <c r="A119" s="61" t="str">
        <f>'Validation List'!N3</f>
        <v>Times the meals are served?</v>
      </c>
      <c r="B119" s="61"/>
      <c r="C119" s="61"/>
      <c r="D119" s="62"/>
    </row>
    <row r="120" spans="1:4">
      <c r="A120" s="5"/>
      <c r="B120" s="3" t="s">
        <v>37</v>
      </c>
      <c r="C120" s="10" t="s">
        <v>38</v>
      </c>
      <c r="D120" s="10" t="s">
        <v>40</v>
      </c>
    </row>
    <row r="121" spans="1:4">
      <c r="A121" s="5" t="str">
        <f>'Validation List'!N6</f>
        <v>Happy</v>
      </c>
      <c r="B121" s="3">
        <f>COUNTIF(Table2[Times the meals are served?],A121)</f>
        <v>0</v>
      </c>
      <c r="C121" s="10">
        <f>B121/No_in_Audit*100</f>
        <v>0</v>
      </c>
      <c r="D121" s="10">
        <f>B121/(No_in_Audit-COUNTIF(Table2[Times the meals are served?],"Not answered"))*100</f>
        <v>0</v>
      </c>
    </row>
    <row r="122" spans="1:4">
      <c r="A122" s="5" t="str">
        <f>'Validation List'!N7</f>
        <v>Neutral</v>
      </c>
      <c r="B122" s="3">
        <f>COUNTIF(Table2[Times the meals are served?],A122)</f>
        <v>0</v>
      </c>
      <c r="C122" s="10">
        <f>B122/No_in_Audit*100</f>
        <v>0</v>
      </c>
      <c r="D122" s="10">
        <f>B122/(No_in_Audit-COUNTIF(Table2[Times the meals are served?],"Not answered"))*100</f>
        <v>0</v>
      </c>
    </row>
    <row r="123" spans="1:4">
      <c r="A123" s="5" t="str">
        <f>'Validation List'!N8</f>
        <v>Unhappy</v>
      </c>
      <c r="B123" s="3">
        <f>COUNTIF(Table2[Times the meals are served?],A123)</f>
        <v>0</v>
      </c>
      <c r="C123" s="10">
        <f>B123/No_in_Audit*100</f>
        <v>0</v>
      </c>
      <c r="D123" s="10">
        <f>B123/(No_in_Audit-COUNTIF(Table2[Times the meals are served?],"Not answered"))*100</f>
        <v>0</v>
      </c>
    </row>
    <row r="124" spans="1:4">
      <c r="A124" s="5" t="str">
        <f>'Validation List'!N15</f>
        <v>Not answered</v>
      </c>
      <c r="B124" s="3">
        <f>COUNTIF(Table2[Times the meals are served?],A124)</f>
        <v>0</v>
      </c>
      <c r="C124" s="10">
        <f>B124/No_in_Audit*100</f>
        <v>0</v>
      </c>
      <c r="D124" s="10"/>
    </row>
    <row r="125" spans="1:4">
      <c r="A125" s="5" t="s">
        <v>39</v>
      </c>
      <c r="B125" s="3">
        <f>SUM(B121:B124)</f>
        <v>0</v>
      </c>
      <c r="C125" s="10">
        <f>SUM(C121:C124)</f>
        <v>0</v>
      </c>
      <c r="D125" s="10">
        <f>SUM(D121:D124)</f>
        <v>0</v>
      </c>
    </row>
    <row r="127" spans="1:4">
      <c r="A127" s="57" t="s">
        <v>196</v>
      </c>
      <c r="B127" s="63"/>
      <c r="C127" s="63"/>
      <c r="D127" s="63"/>
    </row>
    <row r="128" spans="1:4">
      <c r="A128" s="61" t="str">
        <f>'Validation List'!O3</f>
        <v>Amount of time you get to eat your meal?</v>
      </c>
      <c r="B128" s="61"/>
      <c r="C128" s="61"/>
      <c r="D128" s="62"/>
    </row>
    <row r="129" spans="1:4">
      <c r="A129" s="5"/>
      <c r="B129" s="3" t="s">
        <v>37</v>
      </c>
      <c r="C129" s="10" t="s">
        <v>38</v>
      </c>
      <c r="D129" s="10" t="s">
        <v>40</v>
      </c>
    </row>
    <row r="130" spans="1:4">
      <c r="A130" s="5" t="str">
        <f>'Validation List'!O6</f>
        <v>Happy</v>
      </c>
      <c r="B130" s="3">
        <f>COUNTIF(Table2[Amount of time you get to eat your meal?],A130)</f>
        <v>0</v>
      </c>
      <c r="C130" s="10">
        <f>B130/No_in_Audit*100</f>
        <v>0</v>
      </c>
      <c r="D130" s="10">
        <f>B130/(No_in_Audit-COUNTIF(Table2[Amount of time you get to eat your meal?],"Not answered"))*100</f>
        <v>0</v>
      </c>
    </row>
    <row r="131" spans="1:4">
      <c r="A131" s="5" t="str">
        <f>'Validation List'!O7</f>
        <v>Neutral</v>
      </c>
      <c r="B131" s="3">
        <f>COUNTIF(Table2[Amount of time you get to eat your meal?],A131)</f>
        <v>0</v>
      </c>
      <c r="C131" s="10">
        <f>B131/No_in_Audit*100</f>
        <v>0</v>
      </c>
      <c r="D131" s="10">
        <f>B131/(No_in_Audit-COUNTIF(Table2[Amount of time you get to eat your meal?],"Not answered"))*100</f>
        <v>0</v>
      </c>
    </row>
    <row r="132" spans="1:4">
      <c r="A132" s="5" t="str">
        <f>'Validation List'!O8</f>
        <v>Unhappy</v>
      </c>
      <c r="B132" s="3">
        <f>COUNTIF(Table2[Amount of time you get to eat your meal?],A132)</f>
        <v>0</v>
      </c>
      <c r="C132" s="10">
        <f>B132/No_in_Audit*100</f>
        <v>0</v>
      </c>
      <c r="D132" s="10">
        <f>B132/(No_in_Audit-COUNTIF(Table2[Amount of time you get to eat your meal?],"Not answered"))*100</f>
        <v>0</v>
      </c>
    </row>
    <row r="133" spans="1:4">
      <c r="A133" s="5" t="str">
        <f>'Validation List'!O15</f>
        <v>Not answered</v>
      </c>
      <c r="B133" s="3">
        <f>COUNTIF(Table2[Amount of time you get to eat your meal?],A133)</f>
        <v>0</v>
      </c>
      <c r="C133" s="10">
        <f>B133/No_in_Audit*100</f>
        <v>0</v>
      </c>
      <c r="D133" s="10"/>
    </row>
    <row r="134" spans="1:4">
      <c r="A134" s="5" t="s">
        <v>39</v>
      </c>
      <c r="B134" s="3">
        <f>SUM(B130:B133)</f>
        <v>0</v>
      </c>
      <c r="C134" s="10">
        <f>SUM(C130:C133)</f>
        <v>0</v>
      </c>
      <c r="D134" s="10">
        <f>SUM(D130:D133)</f>
        <v>0</v>
      </c>
    </row>
    <row r="136" spans="1:4">
      <c r="A136" s="57" t="s">
        <v>196</v>
      </c>
      <c r="B136" s="63"/>
      <c r="C136" s="63"/>
      <c r="D136" s="63"/>
    </row>
    <row r="137" spans="1:4" ht="27" customHeight="1">
      <c r="A137" s="61" t="str">
        <f>'Validation List'!P3</f>
        <v>Access to drinks and snacks outside of mealtimes?</v>
      </c>
      <c r="B137" s="61"/>
      <c r="C137" s="61"/>
      <c r="D137" s="62"/>
    </row>
    <row r="138" spans="1:4">
      <c r="A138" s="5"/>
      <c r="B138" s="3" t="s">
        <v>37</v>
      </c>
      <c r="C138" s="10" t="s">
        <v>38</v>
      </c>
      <c r="D138" s="10" t="s">
        <v>40</v>
      </c>
    </row>
    <row r="139" spans="1:4">
      <c r="A139" s="5" t="str">
        <f>'Validation List'!P6</f>
        <v>Happy</v>
      </c>
      <c r="B139" s="3">
        <f>COUNTIF(Table2[Access to drinks and snacks outside of mealtimes?],A139)</f>
        <v>0</v>
      </c>
      <c r="C139" s="10">
        <f>B139/No_in_Audit*100</f>
        <v>0</v>
      </c>
      <c r="D139" s="10">
        <f>B139/(No_in_Audit-COUNTIF(Table2[Access to drinks and snacks outside of mealtimes?],"Not answered"))*100</f>
        <v>0</v>
      </c>
    </row>
    <row r="140" spans="1:4">
      <c r="A140" s="5" t="str">
        <f>'Validation List'!P7</f>
        <v>Neutral</v>
      </c>
      <c r="B140" s="3">
        <f>COUNTIF(Table2[Access to drinks and snacks outside of mealtimes?],A140)</f>
        <v>0</v>
      </c>
      <c r="C140" s="10">
        <f>B140/No_in_Audit*100</f>
        <v>0</v>
      </c>
      <c r="D140" s="10">
        <f>B140/(No_in_Audit-COUNTIF(Table2[Access to drinks and snacks outside of mealtimes?],"Not answered"))*100</f>
        <v>0</v>
      </c>
    </row>
    <row r="141" spans="1:4">
      <c r="A141" s="5" t="str">
        <f>'Validation List'!P8</f>
        <v>Unhappy</v>
      </c>
      <c r="B141" s="3">
        <f>COUNTIF(Table2[Access to drinks and snacks outside of mealtimes?],A141)</f>
        <v>0</v>
      </c>
      <c r="C141" s="10">
        <f>B141/No_in_Audit*100</f>
        <v>0</v>
      </c>
      <c r="D141" s="10">
        <f>B141/(No_in_Audit-COUNTIF(Table2[Access to drinks and snacks outside of mealtimes?],"Not answered"))*100</f>
        <v>0</v>
      </c>
    </row>
    <row r="142" spans="1:4">
      <c r="A142" s="5" t="str">
        <f>'Validation List'!P15</f>
        <v>Not answered</v>
      </c>
      <c r="B142" s="3">
        <f>COUNTIF(Table2[Access to drinks and snacks outside of mealtimes?],A142)</f>
        <v>0</v>
      </c>
      <c r="C142" s="10">
        <f>B142/No_in_Audit*100</f>
        <v>0</v>
      </c>
      <c r="D142" s="10"/>
    </row>
    <row r="143" spans="1:4">
      <c r="A143" s="5" t="s">
        <v>39</v>
      </c>
      <c r="B143" s="3">
        <f>SUM(B139:B142)</f>
        <v>0</v>
      </c>
      <c r="C143" s="10">
        <f>SUM(C139:C142)</f>
        <v>0</v>
      </c>
      <c r="D143" s="10">
        <f>SUM(D139:D142)</f>
        <v>0</v>
      </c>
    </row>
    <row r="145" spans="1:4">
      <c r="A145" s="57" t="s">
        <v>196</v>
      </c>
      <c r="B145" s="63"/>
      <c r="C145" s="63"/>
      <c r="D145" s="63"/>
    </row>
    <row r="146" spans="1:4" ht="20.25" customHeight="1">
      <c r="A146" s="58" t="str">
        <f>'Validation List'!Q3</f>
        <v>Arrangements for grocery shopping?</v>
      </c>
      <c r="B146" s="59"/>
      <c r="C146" s="59"/>
      <c r="D146" s="60"/>
    </row>
    <row r="147" spans="1:4">
      <c r="A147" s="5"/>
      <c r="B147" s="3" t="s">
        <v>37</v>
      </c>
      <c r="C147" s="10" t="s">
        <v>38</v>
      </c>
      <c r="D147" s="10" t="s">
        <v>40</v>
      </c>
    </row>
    <row r="148" spans="1:4">
      <c r="A148" s="5" t="str">
        <f>'Validation List'!Q6</f>
        <v>Happy</v>
      </c>
      <c r="B148" s="3">
        <f>COUNTIF(Table2[Arrangements for grocery shopping?],A148)</f>
        <v>0</v>
      </c>
      <c r="C148" s="10">
        <f>B148/No_in_Audit*100</f>
        <v>0</v>
      </c>
      <c r="D148" s="10">
        <f>B148/(No_in_Audit-COUNTIF(Table2[Arrangements for grocery shopping?],"Not answered"))*100</f>
        <v>0</v>
      </c>
    </row>
    <row r="149" spans="1:4">
      <c r="A149" s="5" t="str">
        <f>'Validation List'!Q7</f>
        <v>Neutral</v>
      </c>
      <c r="B149" s="3">
        <f>COUNTIF(Table2[Arrangements for grocery shopping?],A149)</f>
        <v>0</v>
      </c>
      <c r="C149" s="10">
        <f>B149/No_in_Audit*100</f>
        <v>0</v>
      </c>
      <c r="D149" s="10">
        <f>B149/(No_in_Audit-COUNTIF(Table2[Arrangements for grocery shopping?],"Not answered"))*100</f>
        <v>0</v>
      </c>
    </row>
    <row r="150" spans="1:4">
      <c r="A150" s="5" t="str">
        <f>'Validation List'!Q8</f>
        <v>Unhappy</v>
      </c>
      <c r="B150" s="3">
        <f>COUNTIF(Table2[Arrangements for grocery shopping?],A150)</f>
        <v>0</v>
      </c>
      <c r="C150" s="10">
        <f>B150/No_in_Audit*100</f>
        <v>0</v>
      </c>
      <c r="D150" s="10">
        <f>B150/(No_in_Audit-COUNTIF(Table2[Arrangements for grocery shopping?],"Not answered"))*100</f>
        <v>0</v>
      </c>
    </row>
    <row r="151" spans="1:4">
      <c r="A151" s="5" t="str">
        <f>'Validation List'!Q15</f>
        <v>Not answered</v>
      </c>
      <c r="B151" s="3">
        <f>COUNTIF(Table2[Arrangements for grocery shopping?],A151)</f>
        <v>0</v>
      </c>
      <c r="C151" s="10">
        <f>B151/No_in_Audit*100</f>
        <v>0</v>
      </c>
      <c r="D151" s="10"/>
    </row>
    <row r="152" spans="1:4">
      <c r="A152" s="5" t="s">
        <v>39</v>
      </c>
      <c r="B152" s="3">
        <f>SUM(B148:B151)</f>
        <v>0</v>
      </c>
      <c r="C152" s="10">
        <f>SUM(C148:C151)</f>
        <v>0</v>
      </c>
      <c r="D152" s="10">
        <f>SUM(D148:D151)</f>
        <v>0</v>
      </c>
    </row>
    <row r="154" spans="1:4">
      <c r="A154" s="57" t="s">
        <v>196</v>
      </c>
      <c r="B154" s="63"/>
      <c r="C154" s="63"/>
      <c r="D154" s="63"/>
    </row>
    <row r="155" spans="1:4">
      <c r="A155" s="61" t="str">
        <f>'Validation List'!R3</f>
        <v>Cooking and dining facilities available?</v>
      </c>
      <c r="B155" s="61"/>
      <c r="C155" s="61"/>
      <c r="D155" s="62"/>
    </row>
    <row r="156" spans="1:4">
      <c r="A156" s="5"/>
      <c r="B156" s="3" t="s">
        <v>37</v>
      </c>
      <c r="C156" s="10" t="s">
        <v>38</v>
      </c>
      <c r="D156" s="10" t="s">
        <v>40</v>
      </c>
    </row>
    <row r="157" spans="1:4">
      <c r="A157" s="5" t="str">
        <f>'Validation List'!R6</f>
        <v>Happy</v>
      </c>
      <c r="B157" s="3">
        <f>COUNTIF(Table2[Cooking and dining facilities available?],A157)</f>
        <v>0</v>
      </c>
      <c r="C157" s="10">
        <f>B157/No_in_Audit*100</f>
        <v>0</v>
      </c>
      <c r="D157" s="10">
        <f>B157/(No_in_Audit-COUNTIF(Table2[Cooking and dining facilities available?],"Not answered"))*100</f>
        <v>0</v>
      </c>
    </row>
    <row r="158" spans="1:4">
      <c r="A158" s="5" t="str">
        <f>'Validation List'!R7</f>
        <v>Neutral</v>
      </c>
      <c r="B158" s="3">
        <f>COUNTIF(Table2[Cooking and dining facilities available?],A158)</f>
        <v>0</v>
      </c>
      <c r="C158" s="10">
        <f>B158/No_in_Audit*100</f>
        <v>0</v>
      </c>
      <c r="D158" s="10">
        <f>B158/(No_in_Audit-COUNTIF(Table2[Cooking and dining facilities available?],"Not answered"))*100</f>
        <v>0</v>
      </c>
    </row>
    <row r="159" spans="1:4">
      <c r="A159" s="5" t="str">
        <f>'Validation List'!R8</f>
        <v>Unhappy</v>
      </c>
      <c r="B159" s="3">
        <f>COUNTIF(Table2[Cooking and dining facilities available?],A159)</f>
        <v>0</v>
      </c>
      <c r="C159" s="10">
        <f>B159/No_in_Audit*100</f>
        <v>0</v>
      </c>
      <c r="D159" s="10">
        <f>B159/(No_in_Audit-COUNTIF(Table2[Cooking and dining facilities available?],"Not answered"))*100</f>
        <v>0</v>
      </c>
    </row>
    <row r="160" spans="1:4">
      <c r="A160" s="5" t="str">
        <f>'Validation List'!R15</f>
        <v>Not answered</v>
      </c>
      <c r="B160" s="3">
        <f>COUNTIF(Table2[Cooking and dining facilities available?],A160)</f>
        <v>0</v>
      </c>
      <c r="C160" s="10">
        <f>B160/No_in_Audit*100</f>
        <v>0</v>
      </c>
      <c r="D160" s="10"/>
    </row>
    <row r="161" spans="1:4">
      <c r="A161" s="5" t="s">
        <v>39</v>
      </c>
      <c r="B161" s="3">
        <f>SUM(B157:B160)</f>
        <v>0</v>
      </c>
      <c r="C161" s="10">
        <f>SUM(C157:C160)</f>
        <v>0</v>
      </c>
      <c r="D161" s="10">
        <f>SUM(D157:D160)</f>
        <v>0</v>
      </c>
    </row>
    <row r="163" spans="1:4">
      <c r="A163" s="57" t="s">
        <v>203</v>
      </c>
      <c r="B163" s="63"/>
      <c r="C163" s="63"/>
      <c r="D163" s="63"/>
    </row>
    <row r="164" spans="1:4">
      <c r="A164" s="61" t="str">
        <f>'Validation List'!S3</f>
        <v>The arrangements for visitors?</v>
      </c>
      <c r="B164" s="61"/>
      <c r="C164" s="61"/>
      <c r="D164" s="62"/>
    </row>
    <row r="165" spans="1:4">
      <c r="A165" s="5"/>
      <c r="B165" s="3" t="s">
        <v>37</v>
      </c>
      <c r="C165" s="10" t="s">
        <v>38</v>
      </c>
      <c r="D165" s="10" t="s">
        <v>40</v>
      </c>
    </row>
    <row r="166" spans="1:4">
      <c r="A166" s="5" t="str">
        <f>'Validation List'!S6</f>
        <v>Happy</v>
      </c>
      <c r="B166" s="3">
        <f>COUNTIF(Table2[The arrangements for visitors?],A166)</f>
        <v>0</v>
      </c>
      <c r="C166" s="10">
        <f>B166/No_in_Audit*100</f>
        <v>0</v>
      </c>
      <c r="D166" s="10">
        <f>B166/(No_in_Audit-COUNTIF(Table2[The arrangements for visitors?],"Not answered"))*100</f>
        <v>0</v>
      </c>
    </row>
    <row r="167" spans="1:4">
      <c r="A167" s="5" t="str">
        <f>'Validation List'!S7</f>
        <v>Neutral</v>
      </c>
      <c r="B167" s="3">
        <f>COUNTIF(Table2[The arrangements for visitors?],A167)</f>
        <v>0</v>
      </c>
      <c r="C167" s="10">
        <f>B167/No_in_Audit*100</f>
        <v>0</v>
      </c>
      <c r="D167" s="10">
        <f>B167/(No_in_Audit-COUNTIF(Table2[The arrangements for visitors?],"Not answered"))*100</f>
        <v>0</v>
      </c>
    </row>
    <row r="168" spans="1:4">
      <c r="A168" s="5" t="str">
        <f>'Validation List'!S8</f>
        <v>Unhappy</v>
      </c>
      <c r="B168" s="3">
        <f>COUNTIF(Table2[The arrangements for visitors?],A168)</f>
        <v>0</v>
      </c>
      <c r="C168" s="10">
        <f>B168/No_in_Audit*100</f>
        <v>0</v>
      </c>
      <c r="D168" s="10">
        <f>B168/(No_in_Audit-COUNTIF(Table2[The arrangements for visitors?],"Not answered"))*100</f>
        <v>0</v>
      </c>
    </row>
    <row r="169" spans="1:4">
      <c r="A169" s="5" t="str">
        <f>'Validation List'!S15</f>
        <v>Not answered</v>
      </c>
      <c r="B169" s="3">
        <f>COUNTIF(Table2[The arrangements for visitors?],A169)</f>
        <v>0</v>
      </c>
      <c r="C169" s="10">
        <f>B169/No_in_Audit*100</f>
        <v>0</v>
      </c>
      <c r="D169" s="10"/>
    </row>
    <row r="170" spans="1:4">
      <c r="A170" s="5" t="s">
        <v>39</v>
      </c>
      <c r="B170" s="3">
        <f>SUM(B166:B169)</f>
        <v>0</v>
      </c>
      <c r="C170" s="10">
        <f>SUM(C166:C169)</f>
        <v>0</v>
      </c>
      <c r="D170" s="10">
        <f>SUM(D166:D169)</f>
        <v>0</v>
      </c>
    </row>
    <row r="172" spans="1:4">
      <c r="A172" s="57" t="s">
        <v>203</v>
      </c>
      <c r="B172" s="63"/>
      <c r="C172" s="63"/>
      <c r="D172" s="63"/>
    </row>
    <row r="173" spans="1:4">
      <c r="A173" s="58" t="str">
        <f>'Validation List'!T3</f>
        <v>The welcome your visitors get from staff?</v>
      </c>
      <c r="B173" s="59"/>
      <c r="C173" s="59"/>
      <c r="D173" s="60"/>
    </row>
    <row r="174" spans="1:4">
      <c r="A174" s="5"/>
      <c r="B174" s="3" t="s">
        <v>37</v>
      </c>
      <c r="C174" s="10" t="s">
        <v>38</v>
      </c>
      <c r="D174" s="10" t="s">
        <v>40</v>
      </c>
    </row>
    <row r="175" spans="1:4">
      <c r="A175" s="5" t="str">
        <f>'Validation List'!T6</f>
        <v>Happy</v>
      </c>
      <c r="B175" s="3">
        <f>COUNTIF(Table2[The welcome your visitors get from staff?],A175)</f>
        <v>0</v>
      </c>
      <c r="C175" s="10">
        <f>B175/No_in_Audit*100</f>
        <v>0</v>
      </c>
      <c r="D175" s="10">
        <f>B175/(No_in_Audit-COUNTIF(Table2[The welcome your visitors get from staff?],"Not answered"))*100</f>
        <v>0</v>
      </c>
    </row>
    <row r="176" spans="1:4">
      <c r="A176" s="5" t="str">
        <f>'Validation List'!T7</f>
        <v>Neutral</v>
      </c>
      <c r="B176" s="3">
        <f>COUNTIF(Table2[The welcome your visitors get from staff?],A176)</f>
        <v>0</v>
      </c>
      <c r="C176" s="10">
        <f>B176/No_in_Audit*100</f>
        <v>0</v>
      </c>
      <c r="D176" s="10">
        <f>B176/(No_in_Audit-COUNTIF(Table2[The welcome your visitors get from staff?],"Not answered"))*100</f>
        <v>0</v>
      </c>
    </row>
    <row r="177" spans="1:4" ht="23.45" customHeight="1">
      <c r="A177" s="5" t="str">
        <f>'Validation List'!T8</f>
        <v>Unhappy</v>
      </c>
      <c r="B177" s="3">
        <f>COUNTIF(Table2[The welcome your visitors get from staff?],A177)</f>
        <v>0</v>
      </c>
      <c r="C177" s="10">
        <f>B177/No_in_Audit*100</f>
        <v>0</v>
      </c>
      <c r="D177" s="10">
        <f>B177/(No_in_Audit-COUNTIF(Table2[The welcome your visitors get from staff?],"Not answered"))*100</f>
        <v>0</v>
      </c>
    </row>
    <row r="178" spans="1:4">
      <c r="A178" s="5" t="str">
        <f>'Validation List'!T15</f>
        <v>Not answered</v>
      </c>
      <c r="B178" s="3">
        <f>COUNTIF(Table2[The welcome your visitors get from staff?],A178)</f>
        <v>0</v>
      </c>
      <c r="C178" s="10">
        <f>B178/No_in_Audit*100</f>
        <v>0</v>
      </c>
      <c r="D178" s="10"/>
    </row>
    <row r="179" spans="1:4">
      <c r="A179" s="5" t="s">
        <v>39</v>
      </c>
      <c r="B179" s="3">
        <f>SUM(B175:B178)</f>
        <v>0</v>
      </c>
      <c r="C179" s="10">
        <f>SUM(C175:C178)</f>
        <v>0</v>
      </c>
      <c r="D179" s="10">
        <f>SUM(D175:D178)</f>
        <v>0</v>
      </c>
    </row>
    <row r="181" spans="1:4">
      <c r="A181" s="56" t="s">
        <v>198</v>
      </c>
      <c r="B181" s="57"/>
      <c r="C181" s="57"/>
      <c r="D181" s="57"/>
    </row>
    <row r="182" spans="1:4" ht="27" customHeight="1">
      <c r="A182" s="58" t="str">
        <f>'Validation List'!U3</f>
        <v>What time to get up?</v>
      </c>
      <c r="B182" s="59"/>
      <c r="C182" s="59"/>
      <c r="D182" s="60"/>
    </row>
    <row r="183" spans="1:4">
      <c r="A183" s="5"/>
      <c r="B183" s="3" t="s">
        <v>37</v>
      </c>
      <c r="C183" s="10" t="s">
        <v>38</v>
      </c>
      <c r="D183" s="10" t="s">
        <v>40</v>
      </c>
    </row>
    <row r="184" spans="1:4">
      <c r="A184" s="5" t="str">
        <f>'Validation List'!U6</f>
        <v>Happy</v>
      </c>
      <c r="B184" s="3">
        <f>COUNTIF(Table2[What time to get up?],A184)</f>
        <v>0</v>
      </c>
      <c r="C184" s="10">
        <f>B184/No_in_Audit*100</f>
        <v>0</v>
      </c>
      <c r="D184" s="10">
        <f>B184/(No_in_Audit-COUNTIF(Table2[What time to get up?],"Not answered"))*100</f>
        <v>0</v>
      </c>
    </row>
    <row r="185" spans="1:4">
      <c r="A185" s="5" t="str">
        <f>'Validation List'!U7</f>
        <v>Neutral</v>
      </c>
      <c r="B185" s="3">
        <f>COUNTIF(Table2[What time to get up?],A185)</f>
        <v>0</v>
      </c>
      <c r="C185" s="10">
        <f>B185/No_in_Audit*100</f>
        <v>0</v>
      </c>
      <c r="D185" s="10">
        <f>B185/(No_in_Audit-COUNTIF(Table2[What time to get up?],"Not answered"))*100</f>
        <v>0</v>
      </c>
    </row>
    <row r="186" spans="1:4">
      <c r="A186" s="5" t="str">
        <f>'Validation List'!U8</f>
        <v>Unhappy</v>
      </c>
      <c r="B186" s="3">
        <f>COUNTIF(Table2[What time to get up?],A186)</f>
        <v>0</v>
      </c>
      <c r="C186" s="10">
        <f>B186/No_in_Audit*100</f>
        <v>0</v>
      </c>
      <c r="D186" s="10">
        <f>B186/(No_in_Audit-COUNTIF(Table2[What time to get up?],"Not answered"))*100</f>
        <v>0</v>
      </c>
    </row>
    <row r="187" spans="1:4">
      <c r="A187" s="5" t="str">
        <f>'Validation List'!U15</f>
        <v>Not answered</v>
      </c>
      <c r="B187" s="3">
        <f>COUNTIF(Table2[What time to get up?],A187)</f>
        <v>0</v>
      </c>
      <c r="C187" s="10">
        <f>B187/No_in_Audit*100</f>
        <v>0</v>
      </c>
      <c r="D187" s="10"/>
    </row>
    <row r="188" spans="1:4">
      <c r="A188" s="5" t="s">
        <v>39</v>
      </c>
      <c r="B188" s="3">
        <f>SUM(B184:B187)</f>
        <v>0</v>
      </c>
      <c r="C188" s="10">
        <f>SUM(C184:C187)</f>
        <v>0</v>
      </c>
      <c r="D188" s="10">
        <f>SUM(D184:D187)</f>
        <v>0</v>
      </c>
    </row>
    <row r="190" spans="1:4">
      <c r="A190" s="56" t="s">
        <v>198</v>
      </c>
      <c r="B190" s="57"/>
      <c r="C190" s="57"/>
      <c r="D190" s="57"/>
    </row>
    <row r="191" spans="1:4">
      <c r="A191" s="58" t="str">
        <f>'Validation List'!V3</f>
        <v>When you go to bed?</v>
      </c>
      <c r="B191" s="59"/>
      <c r="C191" s="59"/>
      <c r="D191" s="60"/>
    </row>
    <row r="192" spans="1:4">
      <c r="A192" s="5"/>
      <c r="B192" s="3" t="s">
        <v>37</v>
      </c>
      <c r="C192" s="10" t="s">
        <v>38</v>
      </c>
      <c r="D192" s="10" t="s">
        <v>40</v>
      </c>
    </row>
    <row r="193" spans="1:4">
      <c r="A193" s="5" t="str">
        <f>'Validation List'!V6</f>
        <v>Happy</v>
      </c>
      <c r="B193" s="3">
        <f>COUNTIF(Table2[When you go to bed?],A193)</f>
        <v>0</v>
      </c>
      <c r="C193" s="10">
        <f>B193/No_in_Audit*100</f>
        <v>0</v>
      </c>
      <c r="D193" s="10">
        <f>B193/(No_in_Audit-COUNTIF(Table2[When you go to bed?],"Not answered"))*100</f>
        <v>0</v>
      </c>
    </row>
    <row r="194" spans="1:4">
      <c r="A194" s="5" t="str">
        <f>'Validation List'!V7</f>
        <v>Neutral</v>
      </c>
      <c r="B194" s="3">
        <f>COUNTIF(Table2[When you go to bed?],A194)</f>
        <v>0</v>
      </c>
      <c r="C194" s="10">
        <f>B194/No_in_Audit*100</f>
        <v>0</v>
      </c>
      <c r="D194" s="10">
        <f>B194/(No_in_Audit-COUNTIF(Table2[When you go to bed?],"Not answered"))*100</f>
        <v>0</v>
      </c>
    </row>
    <row r="195" spans="1:4">
      <c r="A195" s="5" t="str">
        <f>'Validation List'!V8</f>
        <v>Unhappy</v>
      </c>
      <c r="B195" s="3">
        <f>COUNTIF(Table2[When you go to bed?],A195)</f>
        <v>0</v>
      </c>
      <c r="C195" s="10">
        <f>B195/No_in_Audit*100</f>
        <v>0</v>
      </c>
      <c r="D195" s="10">
        <f>B195/(No_in_Audit-COUNTIF(Table2[When you go to bed?],"Not answered"))*100</f>
        <v>0</v>
      </c>
    </row>
    <row r="196" spans="1:4">
      <c r="A196" s="5" t="str">
        <f>'Validation List'!V15</f>
        <v>Not answered</v>
      </c>
      <c r="B196" s="3">
        <f>COUNTIF(Table2[When you go to bed?],A196)</f>
        <v>0</v>
      </c>
      <c r="C196" s="10">
        <f>B196/No_in_Audit*100</f>
        <v>0</v>
      </c>
      <c r="D196" s="10"/>
    </row>
    <row r="197" spans="1:4">
      <c r="A197" s="5" t="s">
        <v>39</v>
      </c>
      <c r="B197" s="3">
        <f>SUM(B193:B196)</f>
        <v>0</v>
      </c>
      <c r="C197" s="10">
        <f>SUM(C193:C196)</f>
        <v>0</v>
      </c>
      <c r="D197" s="10">
        <f>SUM(D193:D196)</f>
        <v>0</v>
      </c>
    </row>
    <row r="199" spans="1:4">
      <c r="A199" s="56" t="s">
        <v>198</v>
      </c>
      <c r="B199" s="57"/>
      <c r="C199" s="57"/>
      <c r="D199" s="57"/>
    </row>
    <row r="200" spans="1:4">
      <c r="A200" s="61" t="str">
        <f>'Validation List'!W3</f>
        <v>What you eat?</v>
      </c>
      <c r="B200" s="61"/>
      <c r="C200" s="61"/>
      <c r="D200" s="62"/>
    </row>
    <row r="201" spans="1:4">
      <c r="A201" s="5"/>
      <c r="B201" s="3" t="s">
        <v>37</v>
      </c>
      <c r="C201" s="10" t="s">
        <v>38</v>
      </c>
      <c r="D201" s="10" t="s">
        <v>40</v>
      </c>
    </row>
    <row r="202" spans="1:4">
      <c r="A202" s="5" t="str">
        <f>'Validation List'!W6</f>
        <v>Happy</v>
      </c>
      <c r="B202" s="3">
        <f>COUNTIF(Table2[What you eat?],A202)</f>
        <v>0</v>
      </c>
      <c r="C202" s="10">
        <f>B202/No_in_Audit*100</f>
        <v>0</v>
      </c>
      <c r="D202" s="10">
        <f>B202/(No_in_Audit-COUNTIF(Table2[What you eat?],"Not answered"))*100</f>
        <v>0</v>
      </c>
    </row>
    <row r="203" spans="1:4">
      <c r="A203" s="5" t="str">
        <f>'Validation List'!W7</f>
        <v>Neutral</v>
      </c>
      <c r="B203" s="3">
        <f>COUNTIF(Table2[What you eat?],A203)</f>
        <v>0</v>
      </c>
      <c r="C203" s="10">
        <f>B203/No_in_Audit*100</f>
        <v>0</v>
      </c>
      <c r="D203" s="10">
        <f>B203/(No_in_Audit-COUNTIF(Table2[What you eat?],"Not answered"))*100</f>
        <v>0</v>
      </c>
    </row>
    <row r="204" spans="1:4">
      <c r="A204" s="5" t="str">
        <f>'Validation List'!W8</f>
        <v>Unhappy</v>
      </c>
      <c r="B204" s="3">
        <f>COUNTIF(Table2[What you eat?],A204)</f>
        <v>0</v>
      </c>
      <c r="C204" s="10">
        <f>B204/No_in_Audit*100</f>
        <v>0</v>
      </c>
      <c r="D204" s="10">
        <f>B204/(No_in_Audit-COUNTIF(Table2[What you eat?],"Not answered"))*100</f>
        <v>0</v>
      </c>
    </row>
    <row r="205" spans="1:4">
      <c r="A205" s="5" t="str">
        <f>'Validation List'!W15</f>
        <v>Not answered</v>
      </c>
      <c r="B205" s="3">
        <f>COUNTIF(Table2[What you eat?],A205)</f>
        <v>0</v>
      </c>
      <c r="C205" s="10">
        <f>B205/No_in_Audit*100</f>
        <v>0</v>
      </c>
      <c r="D205" s="10"/>
    </row>
    <row r="206" spans="1:4">
      <c r="A206" s="5" t="s">
        <v>39</v>
      </c>
      <c r="B206" s="3">
        <f>SUM(B202:B205)</f>
        <v>0</v>
      </c>
      <c r="C206" s="10">
        <f>SUM(C202:C205)</f>
        <v>0</v>
      </c>
      <c r="D206" s="10">
        <f>SUM(D202:D205)</f>
        <v>0</v>
      </c>
    </row>
    <row r="208" spans="1:4">
      <c r="A208" s="56" t="s">
        <v>198</v>
      </c>
      <c r="B208" s="57"/>
      <c r="C208" s="57"/>
      <c r="D208" s="57"/>
    </row>
    <row r="209" spans="1:4">
      <c r="A209" s="61" t="str">
        <f>'Validation List'!X3</f>
        <v>What you wear?</v>
      </c>
      <c r="B209" s="61"/>
      <c r="C209" s="61"/>
      <c r="D209" s="62"/>
    </row>
    <row r="210" spans="1:4">
      <c r="A210" s="5"/>
      <c r="B210" s="3" t="s">
        <v>37</v>
      </c>
      <c r="C210" s="10" t="s">
        <v>38</v>
      </c>
      <c r="D210" s="10" t="s">
        <v>40</v>
      </c>
    </row>
    <row r="211" spans="1:4">
      <c r="A211" s="5" t="str">
        <f>'Validation List'!X6</f>
        <v>Happy</v>
      </c>
      <c r="B211" s="3">
        <f>COUNTIF(Table2[What you wear?],A211)</f>
        <v>0</v>
      </c>
      <c r="C211" s="10">
        <f>B211/No_in_Audit*100</f>
        <v>0</v>
      </c>
      <c r="D211" s="10">
        <f>B211/(No_in_Audit-COUNTIF(Table2[What you wear?],"Not answered"))*100</f>
        <v>0</v>
      </c>
    </row>
    <row r="212" spans="1:4">
      <c r="A212" s="5" t="str">
        <f>'Validation List'!X7</f>
        <v>Neutral</v>
      </c>
      <c r="B212" s="3">
        <f>COUNTIF(Table2[What you wear?],A212)</f>
        <v>0</v>
      </c>
      <c r="C212" s="10">
        <f>B212/No_in_Audit*100</f>
        <v>0</v>
      </c>
      <c r="D212" s="10">
        <f>B212/(No_in_Audit-COUNTIF(Table2[What you wear?],"Not answered"))*100</f>
        <v>0</v>
      </c>
    </row>
    <row r="213" spans="1:4">
      <c r="A213" s="5" t="str">
        <f>'Validation List'!X8</f>
        <v>Unhappy</v>
      </c>
      <c r="B213" s="3">
        <f>COUNTIF(Table2[What you wear?],A213)</f>
        <v>0</v>
      </c>
      <c r="C213" s="10">
        <f>B213/No_in_Audit*100</f>
        <v>0</v>
      </c>
      <c r="D213" s="10">
        <f>B213/(No_in_Audit-COUNTIF(Table2[What you wear?],"Not answered"))*100</f>
        <v>0</v>
      </c>
    </row>
    <row r="214" spans="1:4">
      <c r="A214" s="5" t="str">
        <f>'Validation List'!X15</f>
        <v>Not answered</v>
      </c>
      <c r="B214" s="3">
        <f>COUNTIF(Table2[What you wear?],A214)</f>
        <v>0</v>
      </c>
      <c r="C214" s="10">
        <f>B214/No_in_Audit*100</f>
        <v>0</v>
      </c>
      <c r="D214" s="10"/>
    </row>
    <row r="215" spans="1:4">
      <c r="A215" s="5" t="s">
        <v>39</v>
      </c>
      <c r="B215" s="3">
        <f>SUM(B211:B214)</f>
        <v>0</v>
      </c>
      <c r="C215" s="10">
        <f>SUM(C211:C214)</f>
        <v>0</v>
      </c>
      <c r="D215" s="10">
        <f>SUM(D211:D214)</f>
        <v>0</v>
      </c>
    </row>
    <row r="217" spans="1:4">
      <c r="A217" s="56" t="s">
        <v>198</v>
      </c>
      <c r="B217" s="57"/>
      <c r="C217" s="57"/>
      <c r="D217" s="57"/>
    </row>
    <row r="218" spans="1:4">
      <c r="A218" s="61" t="str">
        <f>'Validation List'!Y3</f>
        <v>The activities you take part in?</v>
      </c>
      <c r="B218" s="61"/>
      <c r="C218" s="61"/>
      <c r="D218" s="62"/>
    </row>
    <row r="219" spans="1:4">
      <c r="A219" s="5"/>
      <c r="B219" s="3" t="s">
        <v>37</v>
      </c>
      <c r="C219" s="10" t="s">
        <v>38</v>
      </c>
      <c r="D219" s="10" t="s">
        <v>40</v>
      </c>
    </row>
    <row r="220" spans="1:4">
      <c r="A220" s="5" t="str">
        <f>'Validation List'!Y6</f>
        <v>Happy</v>
      </c>
      <c r="B220" s="3">
        <f>COUNTIF(Table2[The activities you take part in?],A220)</f>
        <v>0</v>
      </c>
      <c r="C220" s="10">
        <f>B220/No_in_Audit*100</f>
        <v>0</v>
      </c>
      <c r="D220" s="10">
        <f>B220/(No_in_Audit-COUNTIF(Table2[The activities you take part in?],"Not answered"))*100</f>
        <v>0</v>
      </c>
    </row>
    <row r="221" spans="1:4">
      <c r="A221" s="5" t="str">
        <f>'Validation List'!Y7</f>
        <v>Neutral</v>
      </c>
      <c r="B221" s="3">
        <f>COUNTIF(Table2[The activities you take part in?],A221)</f>
        <v>0</v>
      </c>
      <c r="C221" s="10">
        <f>B221/No_in_Audit*100</f>
        <v>0</v>
      </c>
      <c r="D221" s="10">
        <f>B221/(No_in_Audit-COUNTIF(Table2[The activities you take part in?],"Not answered"))*100</f>
        <v>0</v>
      </c>
    </row>
    <row r="222" spans="1:4">
      <c r="A222" s="5" t="str">
        <f>'Validation List'!Y8</f>
        <v>Unhappy</v>
      </c>
      <c r="B222" s="3">
        <f>COUNTIF(Table2[The activities you take part in?],A222)</f>
        <v>0</v>
      </c>
      <c r="C222" s="10">
        <f>B222/No_in_Audit*100</f>
        <v>0</v>
      </c>
      <c r="D222" s="10">
        <f>B222/(No_in_Audit-COUNTIF(Table2[The activities you take part in?],"Not answered"))*100</f>
        <v>0</v>
      </c>
    </row>
    <row r="223" spans="1:4">
      <c r="A223" s="5" t="str">
        <f>'Validation List'!Y15</f>
        <v>Not answered</v>
      </c>
      <c r="B223" s="3">
        <f>COUNTIF(Table2[The activities you take part in?],A223)</f>
        <v>0</v>
      </c>
      <c r="C223" s="10">
        <f>B223/No_in_Audit*100</f>
        <v>0</v>
      </c>
      <c r="D223" s="10"/>
    </row>
    <row r="224" spans="1:4">
      <c r="A224" s="5" t="s">
        <v>39</v>
      </c>
      <c r="B224" s="3">
        <f>SUM(B220:B223)</f>
        <v>0</v>
      </c>
      <c r="C224" s="10">
        <f>SUM(C220:C223)</f>
        <v>0</v>
      </c>
      <c r="D224" s="10">
        <f>SUM(D220:D223)</f>
        <v>0</v>
      </c>
    </row>
    <row r="226" spans="1:4">
      <c r="A226" s="56" t="s">
        <v>198</v>
      </c>
      <c r="B226" s="57"/>
      <c r="C226" s="57"/>
      <c r="D226" s="57"/>
    </row>
    <row r="227" spans="1:4">
      <c r="A227" s="61" t="str">
        <f>'Validation List'!Z3</f>
        <v>The care and support you receive?</v>
      </c>
      <c r="B227" s="61"/>
      <c r="C227" s="61"/>
      <c r="D227" s="62"/>
    </row>
    <row r="228" spans="1:4">
      <c r="A228" s="5"/>
      <c r="B228" s="3" t="s">
        <v>37</v>
      </c>
      <c r="C228" s="10" t="s">
        <v>38</v>
      </c>
      <c r="D228" s="10" t="s">
        <v>40</v>
      </c>
    </row>
    <row r="229" spans="1:4">
      <c r="A229" s="5" t="str">
        <f>'Validation List'!Z6</f>
        <v>Happy</v>
      </c>
      <c r="B229" s="3">
        <f>COUNTIF(Table2[The care and support you receive?],A229)</f>
        <v>0</v>
      </c>
      <c r="C229" s="10">
        <f>B229/No_in_Audit*100</f>
        <v>0</v>
      </c>
      <c r="D229" s="10">
        <f>B229/(No_in_Audit-COUNTIF(Table2[The care and support you receive?],"Not answered"))*100</f>
        <v>0</v>
      </c>
    </row>
    <row r="230" spans="1:4">
      <c r="A230" s="5" t="str">
        <f>'Validation List'!Z7</f>
        <v>Neutral</v>
      </c>
      <c r="B230" s="3">
        <f>COUNTIF(Table2[The care and support you receive?],A230)</f>
        <v>0</v>
      </c>
      <c r="C230" s="10">
        <f>B230/No_in_Audit*100</f>
        <v>0</v>
      </c>
      <c r="D230" s="10">
        <f>B230/(No_in_Audit-COUNTIF(Table2[The care and support you receive?],"Not answered"))*100</f>
        <v>0</v>
      </c>
    </row>
    <row r="231" spans="1:4">
      <c r="A231" s="5" t="str">
        <f>'Validation List'!Z8</f>
        <v>Unhappy</v>
      </c>
      <c r="B231" s="3">
        <f>COUNTIF(Table2[The care and support you receive?],A231)</f>
        <v>0</v>
      </c>
      <c r="C231" s="10">
        <f>B231/No_in_Audit*100</f>
        <v>0</v>
      </c>
      <c r="D231" s="10">
        <f>B231/(No_in_Audit-COUNTIF(Table2[The care and support you receive?],"Not answered"))*100</f>
        <v>0</v>
      </c>
    </row>
    <row r="232" spans="1:4">
      <c r="A232" s="5" t="str">
        <f>'Validation List'!Z15</f>
        <v>Not answered</v>
      </c>
      <c r="B232" s="3">
        <f>COUNTIF(Table2[The care and support you receive?],A232)</f>
        <v>0</v>
      </c>
      <c r="C232" s="10">
        <f>B232/No_in_Audit*100</f>
        <v>0</v>
      </c>
      <c r="D232" s="10"/>
    </row>
    <row r="233" spans="1:4">
      <c r="A233" s="5" t="s">
        <v>39</v>
      </c>
      <c r="B233" s="3">
        <f>SUM(B229:B232)</f>
        <v>0</v>
      </c>
      <c r="C233" s="10">
        <f>SUM(C229:C232)</f>
        <v>0</v>
      </c>
      <c r="D233" s="10">
        <f>SUM(D229:D232)</f>
        <v>0</v>
      </c>
    </row>
    <row r="235" spans="1:4">
      <c r="A235" s="56" t="s">
        <v>198</v>
      </c>
      <c r="B235" s="57"/>
      <c r="C235" s="57"/>
      <c r="D235" s="57"/>
    </row>
    <row r="236" spans="1:4" ht="30" customHeight="1">
      <c r="A236" s="58" t="str">
        <f>'Validation List'!AA3</f>
        <v>The amount of privacy you have?</v>
      </c>
      <c r="B236" s="59"/>
      <c r="C236" s="59"/>
      <c r="D236" s="60"/>
    </row>
    <row r="237" spans="1:4">
      <c r="A237" s="5"/>
      <c r="B237" s="3" t="s">
        <v>37</v>
      </c>
      <c r="C237" s="10" t="s">
        <v>38</v>
      </c>
      <c r="D237" s="10" t="s">
        <v>40</v>
      </c>
    </row>
    <row r="238" spans="1:4">
      <c r="A238" s="5" t="str">
        <f>'Validation List'!AA6</f>
        <v>Happy</v>
      </c>
      <c r="B238" s="3">
        <f>COUNTIF(Table2[The amount of privacy you have?],A238)</f>
        <v>0</v>
      </c>
      <c r="C238" s="10">
        <f>B238/No_in_Audit*100</f>
        <v>0</v>
      </c>
      <c r="D238" s="10">
        <f>B238/(No_in_Audit-COUNTIF(Table2[The amount of privacy you have?],"Not answered"))*100</f>
        <v>0</v>
      </c>
    </row>
    <row r="239" spans="1:4">
      <c r="A239" s="5" t="str">
        <f>'Validation List'!AA7</f>
        <v>Neutral</v>
      </c>
      <c r="B239" s="3">
        <f>COUNTIF(Table2[The amount of privacy you have?],A239)</f>
        <v>0</v>
      </c>
      <c r="C239" s="10">
        <f>B239/No_in_Audit*100</f>
        <v>0</v>
      </c>
      <c r="D239" s="10">
        <f>B239/(No_in_Audit-COUNTIF(Table2[The amount of privacy you have?],"Not answered"))*100</f>
        <v>0</v>
      </c>
    </row>
    <row r="240" spans="1:4">
      <c r="A240" s="5" t="str">
        <f>'Validation List'!AA8</f>
        <v>Unhappy</v>
      </c>
      <c r="B240" s="3">
        <f>COUNTIF(Table2[The amount of privacy you have?],A240)</f>
        <v>0</v>
      </c>
      <c r="C240" s="10">
        <f>B240/No_in_Audit*100</f>
        <v>0</v>
      </c>
      <c r="D240" s="10">
        <f>B240/(No_in_Audit-COUNTIF(Table2[The amount of privacy you have?],"Not answered"))*100</f>
        <v>0</v>
      </c>
    </row>
    <row r="241" spans="1:4">
      <c r="A241" s="5" t="str">
        <f>'Validation List'!AA15</f>
        <v>Not answered</v>
      </c>
      <c r="B241" s="3">
        <f>COUNTIF(Table2[The amount of privacy you have?],A241)</f>
        <v>0</v>
      </c>
      <c r="C241" s="10">
        <f>B241/No_in_Audit*100</f>
        <v>0</v>
      </c>
      <c r="D241" s="10"/>
    </row>
    <row r="242" spans="1:4">
      <c r="A242" s="5" t="s">
        <v>39</v>
      </c>
      <c r="B242" s="3">
        <f>SUM(B238:B241)</f>
        <v>0</v>
      </c>
      <c r="C242" s="10">
        <f>SUM(C238:C241)</f>
        <v>0</v>
      </c>
      <c r="D242" s="10">
        <f>SUM(D238:D241)</f>
        <v>0</v>
      </c>
    </row>
    <row r="244" spans="1:4">
      <c r="A244" s="56" t="s">
        <v>198</v>
      </c>
      <c r="B244" s="57"/>
      <c r="C244" s="57"/>
      <c r="D244" s="57"/>
    </row>
    <row r="245" spans="1:4" ht="27" customHeight="1">
      <c r="A245" s="58" t="str">
        <f>'Validation List'!AB3</f>
        <v>How your respect and dignity is protected?</v>
      </c>
      <c r="B245" s="59"/>
      <c r="C245" s="59"/>
      <c r="D245" s="60"/>
    </row>
    <row r="246" spans="1:4">
      <c r="A246" s="5"/>
      <c r="B246" s="3" t="s">
        <v>37</v>
      </c>
      <c r="C246" s="10" t="s">
        <v>38</v>
      </c>
      <c r="D246" s="10" t="s">
        <v>40</v>
      </c>
    </row>
    <row r="247" spans="1:4">
      <c r="A247" s="5" t="str">
        <f>'Validation List'!AB6</f>
        <v>Happy</v>
      </c>
      <c r="B247" s="3">
        <f>COUNTIF(Table2[How your respect and dignity is protected?],A247)</f>
        <v>0</v>
      </c>
      <c r="C247" s="10">
        <f>B247/No_in_Audit*100</f>
        <v>0</v>
      </c>
      <c r="D247" s="10">
        <f>B247/(No_in_Audit-COUNTIF(Table2[How your respect and dignity is protected?],"Not answered"))*100</f>
        <v>0</v>
      </c>
    </row>
    <row r="248" spans="1:4">
      <c r="A248" s="5" t="str">
        <f>'Validation List'!AB7</f>
        <v>Neutral</v>
      </c>
      <c r="B248" s="3">
        <f>COUNTIF(Table2[How your respect and dignity is protected?],A248)</f>
        <v>0</v>
      </c>
      <c r="C248" s="10">
        <f>B248/No_in_Audit*100</f>
        <v>0</v>
      </c>
      <c r="D248" s="10">
        <f>B248/(No_in_Audit-COUNTIF(Table2[How your respect and dignity is protected?],"Not answered"))*100</f>
        <v>0</v>
      </c>
    </row>
    <row r="249" spans="1:4">
      <c r="A249" s="5" t="str">
        <f>'Validation List'!AB8</f>
        <v>Unhappy</v>
      </c>
      <c r="B249" s="3">
        <f>COUNTIF(Table2[How your respect and dignity is protected?],A249)</f>
        <v>0</v>
      </c>
      <c r="C249" s="10">
        <f>B249/No_in_Audit*100</f>
        <v>0</v>
      </c>
      <c r="D249" s="10">
        <f>B249/(No_in_Audit-COUNTIF(Table2[How your respect and dignity is protected?],"Not answered"))*100</f>
        <v>0</v>
      </c>
    </row>
    <row r="250" spans="1:4">
      <c r="A250" s="5" t="str">
        <f>'Validation List'!AB15</f>
        <v>Not answered</v>
      </c>
      <c r="B250" s="3">
        <f>COUNTIF(Table2[How your respect and dignity is protected?],A250)</f>
        <v>0</v>
      </c>
      <c r="C250" s="10">
        <f>B250/No_in_Audit*100</f>
        <v>0</v>
      </c>
      <c r="D250" s="10"/>
    </row>
    <row r="251" spans="1:4">
      <c r="A251" s="5" t="s">
        <v>39</v>
      </c>
      <c r="B251" s="3">
        <f>SUM(B247:B250)</f>
        <v>0</v>
      </c>
      <c r="C251" s="10">
        <f>SUM(C247:C250)</f>
        <v>0</v>
      </c>
      <c r="D251" s="10">
        <f>SUM(D247:D250)</f>
        <v>0</v>
      </c>
    </row>
    <row r="253" spans="1:4">
      <c r="A253" s="56" t="s">
        <v>198</v>
      </c>
      <c r="B253" s="57"/>
      <c r="C253" s="57"/>
      <c r="D253" s="57"/>
    </row>
    <row r="254" spans="1:4" ht="30" customHeight="1">
      <c r="A254" s="58" t="str">
        <f>'Validation List'!AC3</f>
        <v>How safe you feel?</v>
      </c>
      <c r="B254" s="59"/>
      <c r="C254" s="59"/>
      <c r="D254" s="60"/>
    </row>
    <row r="255" spans="1:4">
      <c r="A255" s="5"/>
      <c r="B255" s="3" t="s">
        <v>37</v>
      </c>
      <c r="C255" s="10" t="s">
        <v>38</v>
      </c>
      <c r="D255" s="10" t="s">
        <v>40</v>
      </c>
    </row>
    <row r="256" spans="1:4">
      <c r="A256" s="5" t="str">
        <f>'Validation List'!AC6</f>
        <v>Happy</v>
      </c>
      <c r="B256" s="3">
        <f>COUNTIF(Table2[How safe you feel?],A256)</f>
        <v>0</v>
      </c>
      <c r="C256" s="10">
        <f>B256/No_in_Audit*100</f>
        <v>0</v>
      </c>
      <c r="D256" s="10">
        <f>B256/(No_in_Audit-COUNTIF(Table2[How safe you feel?],"Not answered"))*100</f>
        <v>0</v>
      </c>
    </row>
    <row r="257" spans="1:4">
      <c r="A257" s="5" t="str">
        <f>'Validation List'!AC7</f>
        <v>Neutral</v>
      </c>
      <c r="B257" s="3">
        <f>COUNTIF(Table2[How safe you feel?],A257)</f>
        <v>0</v>
      </c>
      <c r="C257" s="10">
        <f>B257/No_in_Audit*100</f>
        <v>0</v>
      </c>
      <c r="D257" s="10">
        <f>B257/(No_in_Audit-COUNTIF(Table2[How safe you feel?],"Not answered"))*100</f>
        <v>0</v>
      </c>
    </row>
    <row r="258" spans="1:4">
      <c r="A258" s="5" t="str">
        <f>'Validation List'!AC8</f>
        <v>Unhappy</v>
      </c>
      <c r="B258" s="3">
        <f>COUNTIF(Table2[How safe you feel?],A258)</f>
        <v>0</v>
      </c>
      <c r="C258" s="10">
        <f>B258/No_in_Audit*100</f>
        <v>0</v>
      </c>
      <c r="D258" s="10">
        <f>B258/(No_in_Audit-COUNTIF(Table2[How safe you feel?],"Not answered"))*100</f>
        <v>0</v>
      </c>
    </row>
    <row r="259" spans="1:4">
      <c r="A259" s="5" t="str">
        <f>'Validation List'!AC15</f>
        <v>Not answered</v>
      </c>
      <c r="B259" s="3">
        <f>COUNTIF(Table2[How safe you feel?],A259)</f>
        <v>0</v>
      </c>
      <c r="C259" s="10">
        <f>B259/No_in_Audit*100</f>
        <v>0</v>
      </c>
      <c r="D259" s="10"/>
    </row>
    <row r="260" spans="1:4">
      <c r="A260" s="5" t="s">
        <v>39</v>
      </c>
      <c r="B260" s="3">
        <f>SUM(B256:B259)</f>
        <v>0</v>
      </c>
      <c r="C260" s="10">
        <f>SUM(C256:C259)</f>
        <v>0</v>
      </c>
      <c r="D260" s="10">
        <f>SUM(D256:D259)</f>
        <v>0</v>
      </c>
    </row>
    <row r="262" spans="1:4">
      <c r="A262" s="56" t="s">
        <v>199</v>
      </c>
      <c r="B262" s="57"/>
      <c r="C262" s="57"/>
      <c r="D262" s="57"/>
    </row>
    <row r="263" spans="1:4" ht="26.25" customHeight="1">
      <c r="A263" s="58" t="str">
        <f>'Validation List'!AD3</f>
        <v>Your relationships with other residents?</v>
      </c>
      <c r="B263" s="59"/>
      <c r="C263" s="59"/>
      <c r="D263" s="60"/>
    </row>
    <row r="264" spans="1:4">
      <c r="A264" s="5"/>
      <c r="B264" s="3" t="s">
        <v>37</v>
      </c>
      <c r="C264" s="10" t="s">
        <v>38</v>
      </c>
      <c r="D264" s="10" t="s">
        <v>40</v>
      </c>
    </row>
    <row r="265" spans="1:4">
      <c r="A265" s="5" t="str">
        <f>'Validation List'!AD6</f>
        <v>Happy</v>
      </c>
      <c r="B265" s="3">
        <f>COUNTIF(Table2[Your relationships with other residents?],A265)</f>
        <v>0</v>
      </c>
      <c r="C265" s="10">
        <f>B265/No_in_Audit*100</f>
        <v>0</v>
      </c>
      <c r="D265" s="10">
        <f>B265/(No_in_Audit-COUNTIF(Table2[Your relationships with other residents?],"Not answered"))*100</f>
        <v>0</v>
      </c>
    </row>
    <row r="266" spans="1:4">
      <c r="A266" s="5" t="str">
        <f>'Validation List'!AD7</f>
        <v>Neutral</v>
      </c>
      <c r="B266" s="3">
        <f>COUNTIF(Table2[Your relationships with other residents?],A266)</f>
        <v>0</v>
      </c>
      <c r="C266" s="10">
        <f>B266/No_in_Audit*100</f>
        <v>0</v>
      </c>
      <c r="D266" s="10">
        <f>B266/(No_in_Audit-COUNTIF(Table2[Your relationships with other residents?],"Not answered"))*100</f>
        <v>0</v>
      </c>
    </row>
    <row r="267" spans="1:4">
      <c r="A267" s="5" t="str">
        <f>'Validation List'!AD8</f>
        <v>Unhappy</v>
      </c>
      <c r="B267" s="3">
        <f>COUNTIF(Table2[Your relationships with other residents?],A267)</f>
        <v>0</v>
      </c>
      <c r="C267" s="10">
        <f>B267/No_in_Audit*100</f>
        <v>0</v>
      </c>
      <c r="D267" s="10">
        <f>B267/(No_in_Audit-COUNTIF(Table2[Your relationships with other residents?],"Not answered"))*100</f>
        <v>0</v>
      </c>
    </row>
    <row r="268" spans="1:4">
      <c r="A268" s="5" t="str">
        <f>'Validation List'!AD15</f>
        <v>Not answered</v>
      </c>
      <c r="B268" s="3">
        <f>COUNTIF(Table2[Your relationships with other residents?],A268)</f>
        <v>0</v>
      </c>
      <c r="C268" s="10">
        <f>B268/No_in_Audit*100</f>
        <v>0</v>
      </c>
      <c r="D268" s="10"/>
    </row>
    <row r="269" spans="1:4">
      <c r="A269" s="5" t="s">
        <v>39</v>
      </c>
      <c r="B269" s="3">
        <f>SUM(B265:B268)</f>
        <v>0</v>
      </c>
      <c r="C269" s="10">
        <f>SUM(C265:C268)</f>
        <v>0</v>
      </c>
      <c r="D269" s="10">
        <f>SUM(D265:D268)</f>
        <v>0</v>
      </c>
    </row>
    <row r="271" spans="1:4">
      <c r="A271" s="56" t="s">
        <v>199</v>
      </c>
      <c r="B271" s="57"/>
      <c r="C271" s="57"/>
      <c r="D271" s="57"/>
    </row>
    <row r="272" spans="1:4" ht="28.5" customHeight="1">
      <c r="A272" s="58" t="str">
        <f>'Validation List'!AE3</f>
        <v xml:space="preserve">Your involvement in deciding on the activities in your centre? </v>
      </c>
      <c r="B272" s="59"/>
      <c r="C272" s="59"/>
      <c r="D272" s="60"/>
    </row>
    <row r="273" spans="1:4">
      <c r="A273" s="5"/>
      <c r="B273" s="3" t="s">
        <v>37</v>
      </c>
      <c r="C273" s="10" t="s">
        <v>38</v>
      </c>
      <c r="D273" s="10" t="s">
        <v>40</v>
      </c>
    </row>
    <row r="274" spans="1:4">
      <c r="A274" s="5" t="str">
        <f>'Validation List'!AE6</f>
        <v>Happy</v>
      </c>
      <c r="B274" s="3">
        <f>COUNTIF(Table2[Your involvement in deciding on the activities in your centre? ],A274)</f>
        <v>0</v>
      </c>
      <c r="C274" s="10">
        <f>B274/No_in_Audit*100</f>
        <v>0</v>
      </c>
      <c r="D274" s="10">
        <f>B274/(No_in_Audit-COUNTIF(Table2[Your involvement in deciding on the activities in your centre? ],"Not answered"))*100</f>
        <v>0</v>
      </c>
    </row>
    <row r="275" spans="1:4">
      <c r="A275" s="5" t="str">
        <f>'Validation List'!AE7</f>
        <v>Neutral</v>
      </c>
      <c r="B275" s="3">
        <f>COUNTIF(Table2[Your involvement in deciding on the activities in your centre? ],A275)</f>
        <v>0</v>
      </c>
      <c r="C275" s="10">
        <f>B275/No_in_Audit*100</f>
        <v>0</v>
      </c>
      <c r="D275" s="10">
        <f>B275/(No_in_Audit-COUNTIF(Table2[Your involvement in deciding on the activities in your centre? ],"Not answered"))*100</f>
        <v>0</v>
      </c>
    </row>
    <row r="276" spans="1:4">
      <c r="A276" s="5" t="str">
        <f>'Validation List'!AE8</f>
        <v>Unhappy</v>
      </c>
      <c r="B276" s="3">
        <f>COUNTIF(Table2[Your involvement in deciding on the activities in your centre? ],A276)</f>
        <v>0</v>
      </c>
      <c r="C276" s="10">
        <f>B276/No_in_Audit*100</f>
        <v>0</v>
      </c>
      <c r="D276" s="10">
        <f>B276/(No_in_Audit-COUNTIF(Table2[Your involvement in deciding on the activities in your centre? ],"Not answered"))*100</f>
        <v>0</v>
      </c>
    </row>
    <row r="277" spans="1:4">
      <c r="A277" s="5" t="str">
        <f>'Validation List'!AE15</f>
        <v>Not answered</v>
      </c>
      <c r="B277" s="3">
        <f>COUNTIF(Table2[Your involvement in deciding on the activities in your centre? ],A277)</f>
        <v>0</v>
      </c>
      <c r="C277" s="10">
        <f>B277/No_in_Audit*100</f>
        <v>0</v>
      </c>
      <c r="D277" s="10"/>
    </row>
    <row r="278" spans="1:4">
      <c r="A278" s="5" t="s">
        <v>39</v>
      </c>
      <c r="B278" s="3">
        <f>SUM(B274:B277)</f>
        <v>0</v>
      </c>
      <c r="C278" s="10">
        <f>SUM(C274:C277)</f>
        <v>0</v>
      </c>
      <c r="D278" s="10">
        <f>SUM(D274:D277)</f>
        <v>0</v>
      </c>
    </row>
    <row r="280" spans="1:4">
      <c r="A280" s="56" t="s">
        <v>199</v>
      </c>
      <c r="B280" s="57"/>
      <c r="C280" s="57"/>
      <c r="D280" s="57"/>
    </row>
    <row r="281" spans="1:4">
      <c r="A281" s="58" t="str">
        <f>'Validation List'!AF3</f>
        <v xml:space="preserve">How often you go outside your centre? </v>
      </c>
      <c r="B281" s="59"/>
      <c r="C281" s="59"/>
      <c r="D281" s="60"/>
    </row>
    <row r="282" spans="1:4">
      <c r="A282" s="5"/>
      <c r="B282" s="3" t="s">
        <v>37</v>
      </c>
      <c r="C282" s="10" t="s">
        <v>38</v>
      </c>
      <c r="D282" s="10" t="s">
        <v>40</v>
      </c>
    </row>
    <row r="283" spans="1:4">
      <c r="A283" s="5" t="str">
        <f>'Validation List'!AF6</f>
        <v>Happy</v>
      </c>
      <c r="B283" s="3">
        <f>COUNTIF(Table2[How often you go outside your centre? ],A283)</f>
        <v>0</v>
      </c>
      <c r="C283" s="10">
        <f>B283/No_in_Audit*100</f>
        <v>0</v>
      </c>
      <c r="D283" s="10">
        <f>B283/(No_in_Audit-COUNTIF(Table2[How often you go outside your centre? ],"Not answered"))*100</f>
        <v>0</v>
      </c>
    </row>
    <row r="284" spans="1:4">
      <c r="A284" s="5" t="str">
        <f>'Validation List'!AF7</f>
        <v>Neutral</v>
      </c>
      <c r="B284" s="3">
        <f>COUNTIF(Table2[How often you go outside your centre? ],A284)</f>
        <v>0</v>
      </c>
      <c r="C284" s="10">
        <f>B284/No_in_Audit*100</f>
        <v>0</v>
      </c>
      <c r="D284" s="10">
        <f>B284/(No_in_Audit-COUNTIF(Table2[How often you go outside your centre? ],"Not answered"))*100</f>
        <v>0</v>
      </c>
    </row>
    <row r="285" spans="1:4">
      <c r="A285" s="5" t="str">
        <f>'Validation List'!AF8</f>
        <v>Unhappy</v>
      </c>
      <c r="B285" s="3">
        <f>COUNTIF(Table2[How often you go outside your centre? ],A285)</f>
        <v>0</v>
      </c>
      <c r="C285" s="10">
        <f>B285/No_in_Audit*100</f>
        <v>0</v>
      </c>
      <c r="D285" s="10">
        <f>B285/(No_in_Audit-COUNTIF(Table2[How often you go outside your centre? ],"Not answered"))*100</f>
        <v>0</v>
      </c>
    </row>
    <row r="286" spans="1:4">
      <c r="A286" s="5" t="str">
        <f>'Validation List'!AF15</f>
        <v>Not answered</v>
      </c>
      <c r="B286" s="3">
        <f>COUNTIF(Table2[How often you go outside your centre? ],A286)</f>
        <v>0</v>
      </c>
      <c r="C286" s="10">
        <f>B286/No_in_Audit*100</f>
        <v>0</v>
      </c>
      <c r="D286" s="10"/>
    </row>
    <row r="287" spans="1:4">
      <c r="A287" s="5" t="s">
        <v>39</v>
      </c>
      <c r="B287" s="3">
        <f>SUM(B283:B286)</f>
        <v>0</v>
      </c>
      <c r="C287" s="10">
        <f>SUM(C283:C286)</f>
        <v>0</v>
      </c>
      <c r="D287" s="10">
        <f>SUM(D283:D286)</f>
        <v>0</v>
      </c>
    </row>
    <row r="289" spans="1:4">
      <c r="A289" s="56" t="s">
        <v>199</v>
      </c>
      <c r="B289" s="57"/>
      <c r="C289" s="57"/>
      <c r="D289" s="57"/>
    </row>
    <row r="290" spans="1:4" ht="27.75" customHeight="1">
      <c r="A290" s="58" t="str">
        <f>'Validation List'!AG3</f>
        <v xml:space="preserve">Your participation in the wider community outside your centre? </v>
      </c>
      <c r="B290" s="59"/>
      <c r="C290" s="59"/>
      <c r="D290" s="60"/>
    </row>
    <row r="291" spans="1:4">
      <c r="A291" s="5"/>
      <c r="B291" s="3" t="s">
        <v>37</v>
      </c>
      <c r="C291" s="10" t="s">
        <v>38</v>
      </c>
      <c r="D291" s="10" t="s">
        <v>40</v>
      </c>
    </row>
    <row r="292" spans="1:4">
      <c r="A292" s="5" t="str">
        <f>'Validation List'!AG6</f>
        <v>Happy</v>
      </c>
      <c r="B292" s="3">
        <f>COUNTIF(Table2[Your participation in the wider community outside your centre? ],A292)</f>
        <v>0</v>
      </c>
      <c r="C292" s="10">
        <f>B292/No_in_Audit*100</f>
        <v>0</v>
      </c>
      <c r="D292" s="10">
        <f>B292/(No_in_Audit-COUNTIF(Table2[Your participation in the wider community outside your centre? ],"Not answered"))*100</f>
        <v>0</v>
      </c>
    </row>
    <row r="293" spans="1:4">
      <c r="A293" s="5" t="str">
        <f>'Validation List'!AG7</f>
        <v>Neutral</v>
      </c>
      <c r="B293" s="3">
        <f>COUNTIF(Table2[Your participation in the wider community outside your centre? ],A293)</f>
        <v>0</v>
      </c>
      <c r="C293" s="10">
        <f>B293/No_in_Audit*100</f>
        <v>0</v>
      </c>
      <c r="D293" s="10">
        <f>B293/(No_in_Audit-COUNTIF(Table2[Your participation in the wider community outside your centre? ],"Not answered"))*100</f>
        <v>0</v>
      </c>
    </row>
    <row r="294" spans="1:4">
      <c r="A294" s="5" t="str">
        <f>'Validation List'!AG8</f>
        <v>Unhappy</v>
      </c>
      <c r="B294" s="3">
        <f>COUNTIF(Table2[Your participation in the wider community outside your centre? ],A294)</f>
        <v>0</v>
      </c>
      <c r="C294" s="10">
        <f>B294/No_in_Audit*100</f>
        <v>0</v>
      </c>
      <c r="D294" s="10">
        <f>B294/(No_in_Audit-COUNTIF(Table2[Your participation in the wider community outside your centre? ],"Not answered"))*100</f>
        <v>0</v>
      </c>
    </row>
    <row r="295" spans="1:4">
      <c r="A295" s="5" t="str">
        <f>'Validation List'!AG15</f>
        <v>Not answered</v>
      </c>
      <c r="B295" s="3">
        <f>COUNTIF(Table2[Your participation in the wider community outside your centre? ],A295)</f>
        <v>0</v>
      </c>
      <c r="C295" s="10">
        <f>B295/No_in_Audit*100</f>
        <v>0</v>
      </c>
      <c r="D295" s="10"/>
    </row>
    <row r="296" spans="1:4">
      <c r="A296" s="5" t="s">
        <v>39</v>
      </c>
      <c r="B296" s="3">
        <f>SUM(B292:B295)</f>
        <v>0</v>
      </c>
      <c r="C296" s="10">
        <f>SUM(C292:C295)</f>
        <v>0</v>
      </c>
      <c r="D296" s="10">
        <f>SUM(D292:D295)</f>
        <v>0</v>
      </c>
    </row>
    <row r="298" spans="1:4">
      <c r="A298" s="56" t="s">
        <v>200</v>
      </c>
      <c r="B298" s="56"/>
      <c r="C298" s="56"/>
      <c r="D298" s="56"/>
    </row>
    <row r="299" spans="1:4">
      <c r="A299" s="58" t="str">
        <f>'Validation List'!AH3</f>
        <v>Have you a Personal plan?</v>
      </c>
      <c r="B299" s="59"/>
      <c r="C299" s="59"/>
      <c r="D299" s="60"/>
    </row>
    <row r="300" spans="1:4">
      <c r="A300" s="5"/>
      <c r="B300" s="3" t="s">
        <v>37</v>
      </c>
      <c r="C300" s="10" t="s">
        <v>38</v>
      </c>
      <c r="D300" s="10" t="s">
        <v>40</v>
      </c>
    </row>
    <row r="301" spans="1:4">
      <c r="A301" s="5" t="str">
        <f>'Validation List'!AH6</f>
        <v>Yes</v>
      </c>
      <c r="B301" s="3">
        <f>COUNTIF(Table2[Have you a Personal Plan?],A301)</f>
        <v>0</v>
      </c>
      <c r="C301" s="10">
        <f>B301/No_in_Audit*100</f>
        <v>0</v>
      </c>
      <c r="D301" s="10">
        <f>B301/(No_in_Audit-COUNTIF(Table2[Have you a Personal Plan?],"Not answered"))*100</f>
        <v>0</v>
      </c>
    </row>
    <row r="302" spans="1:4">
      <c r="A302" s="5" t="str">
        <f>'Validation List'!AH7</f>
        <v>No</v>
      </c>
      <c r="B302" s="3">
        <f>COUNTIF(Table2[Have you a Personal Plan?],A302)</f>
        <v>0</v>
      </c>
      <c r="C302" s="10">
        <f>B302/No_in_Audit*100</f>
        <v>0</v>
      </c>
      <c r="D302" s="10">
        <f>B302/(No_in_Audit-COUNTIF(Table2[Have you a Personal Plan?],"Not answered"))*100</f>
        <v>0</v>
      </c>
    </row>
    <row r="303" spans="1:4">
      <c r="A303" s="5" t="str">
        <f>'Validation List'!AH8</f>
        <v>I don't know</v>
      </c>
      <c r="B303" s="3">
        <f>COUNTIF(Table2[Have you a Personal Plan?],A303)</f>
        <v>0</v>
      </c>
      <c r="C303" s="10">
        <f>B303/No_in_Audit*100</f>
        <v>0</v>
      </c>
      <c r="D303" s="10">
        <f>B303/(No_in_Audit-COUNTIF(Table2[Have you a Personal Plan?],"Not answered"))*100</f>
        <v>0</v>
      </c>
    </row>
    <row r="304" spans="1:4">
      <c r="A304" s="5" t="str">
        <f>'Validation List'!AH15</f>
        <v>Not answered</v>
      </c>
      <c r="B304" s="3">
        <f>COUNTIF(Table2[Have you a Personal Plan?],A304)</f>
        <v>0</v>
      </c>
      <c r="C304" s="10">
        <f>B304/No_in_Audit*100</f>
        <v>0</v>
      </c>
      <c r="D304" s="10"/>
    </row>
    <row r="305" spans="1:4">
      <c r="A305" s="5" t="s">
        <v>39</v>
      </c>
      <c r="B305" s="3">
        <f>SUM(B301:B304)</f>
        <v>0</v>
      </c>
      <c r="C305" s="10">
        <f>SUM(C301:C304)</f>
        <v>0</v>
      </c>
      <c r="D305" s="10">
        <f>SUM(D301:D304)</f>
        <v>0</v>
      </c>
    </row>
    <row r="307" spans="1:4">
      <c r="A307" s="56" t="s">
        <v>201</v>
      </c>
      <c r="B307" s="57"/>
      <c r="C307" s="57"/>
      <c r="D307" s="57"/>
    </row>
    <row r="308" spans="1:4">
      <c r="A308" s="58" t="str">
        <f>'Validation List'!AI3</f>
        <v>Are easy to talk to?</v>
      </c>
      <c r="B308" s="59"/>
      <c r="C308" s="59"/>
      <c r="D308" s="60"/>
    </row>
    <row r="309" spans="1:4">
      <c r="A309" s="5"/>
      <c r="B309" s="3" t="s">
        <v>37</v>
      </c>
      <c r="C309" s="10" t="s">
        <v>38</v>
      </c>
      <c r="D309" s="10" t="s">
        <v>40</v>
      </c>
    </row>
    <row r="310" spans="1:4">
      <c r="A310" s="5" t="str">
        <f>'Validation List'!AI6</f>
        <v>Happy</v>
      </c>
      <c r="B310" s="3">
        <f>COUNTIF(Table2[Are easy to talk to?],A310)</f>
        <v>0</v>
      </c>
      <c r="C310" s="10">
        <f>B310/No_in_Audit*100</f>
        <v>0</v>
      </c>
      <c r="D310" s="10">
        <f>B310/(No_in_Audit-COUNTIF(Table2[Are easy to talk to?],"Not answered"))*100</f>
        <v>0</v>
      </c>
    </row>
    <row r="311" spans="1:4">
      <c r="A311" s="5" t="str">
        <f>'Validation List'!AI7</f>
        <v>Neutral</v>
      </c>
      <c r="B311" s="3">
        <f>COUNTIF(Table2[Are easy to talk to?],A311)</f>
        <v>0</v>
      </c>
      <c r="C311" s="10">
        <f>B311/No_in_Audit*100</f>
        <v>0</v>
      </c>
      <c r="D311" s="10">
        <f>B311/(No_in_Audit-COUNTIF(Table2[Are easy to talk to?],"Not answered"))*100</f>
        <v>0</v>
      </c>
    </row>
    <row r="312" spans="1:4">
      <c r="A312" s="5" t="str">
        <f>'Validation List'!AI8</f>
        <v>Unhappy</v>
      </c>
      <c r="B312" s="3">
        <f>COUNTIF(Table2[Are easy to talk to?],A312)</f>
        <v>0</v>
      </c>
      <c r="C312" s="10">
        <f>B312/No_in_Audit*100</f>
        <v>0</v>
      </c>
      <c r="D312" s="10">
        <f>B312/(No_in_Audit-COUNTIF(Table2[Are easy to talk to?],"Not answered"))*100</f>
        <v>0</v>
      </c>
    </row>
    <row r="313" spans="1:4">
      <c r="A313" s="5" t="str">
        <f>'Validation List'!AI15</f>
        <v>Not answered</v>
      </c>
      <c r="B313" s="3">
        <f>COUNTIF(Table2[Are easy to talk to?],A313)</f>
        <v>0</v>
      </c>
      <c r="C313" s="10">
        <f>B313/No_in_Audit*100</f>
        <v>0</v>
      </c>
      <c r="D313" s="10"/>
    </row>
    <row r="314" spans="1:4">
      <c r="A314" s="5" t="s">
        <v>39</v>
      </c>
      <c r="B314" s="3">
        <f>SUM(B310:B313)</f>
        <v>0</v>
      </c>
      <c r="C314" s="10">
        <f>SUM(C310:C313)</f>
        <v>0</v>
      </c>
      <c r="D314" s="10">
        <f>SUM(D310:D313)</f>
        <v>0</v>
      </c>
    </row>
    <row r="315" spans="1:4">
      <c r="A315" s="2"/>
      <c r="B315" s="8"/>
      <c r="C315" s="11"/>
      <c r="D315" s="11"/>
    </row>
    <row r="316" spans="1:4">
      <c r="A316" s="56" t="s">
        <v>201</v>
      </c>
      <c r="B316" s="57"/>
      <c r="C316" s="57"/>
      <c r="D316" s="57"/>
    </row>
    <row r="317" spans="1:4">
      <c r="A317" s="58" t="str">
        <f>'Validation List'!AJ3</f>
        <v>Listen to you?</v>
      </c>
      <c r="B317" s="59"/>
      <c r="C317" s="59"/>
      <c r="D317" s="60"/>
    </row>
    <row r="318" spans="1:4">
      <c r="A318" s="5"/>
      <c r="B318" s="3" t="s">
        <v>37</v>
      </c>
      <c r="C318" s="10" t="s">
        <v>38</v>
      </c>
      <c r="D318" s="10" t="s">
        <v>40</v>
      </c>
    </row>
    <row r="319" spans="1:4">
      <c r="A319" s="5" t="str">
        <f>'Validation List'!AJ6</f>
        <v>Happy</v>
      </c>
      <c r="B319" s="3">
        <f>COUNTIF(Table2[Listen to you?],A319)</f>
        <v>0</v>
      </c>
      <c r="C319" s="10">
        <f>B319/No_in_Audit*100</f>
        <v>0</v>
      </c>
      <c r="D319" s="10">
        <f>B319/(No_in_Audit-COUNTIF(Table2[Listen to you?],"Not answered"))*100</f>
        <v>0</v>
      </c>
    </row>
    <row r="320" spans="1:4">
      <c r="A320" s="5" t="str">
        <f>'Validation List'!AJ7</f>
        <v>Neutral</v>
      </c>
      <c r="B320" s="3">
        <f>COUNTIF(Table2[Listen to you?],A320)</f>
        <v>0</v>
      </c>
      <c r="C320" s="10">
        <f>B320/No_in_Audit*100</f>
        <v>0</v>
      </c>
      <c r="D320" s="10">
        <f>B320/(No_in_Audit-COUNTIF(Table2[Listen to you?],"Not answered"))*100</f>
        <v>0</v>
      </c>
    </row>
    <row r="321" spans="1:4">
      <c r="A321" s="5" t="str">
        <f>'Validation List'!AJ8</f>
        <v>Unhappy</v>
      </c>
      <c r="B321" s="3">
        <f>COUNTIF(Table2[Listen to you?],A321)</f>
        <v>0</v>
      </c>
      <c r="C321" s="10">
        <f>B321/No_in_Audit*100</f>
        <v>0</v>
      </c>
      <c r="D321" s="10">
        <f>B321/(No_in_Audit-COUNTIF(Table2[Listen to you?],"Not answered"))*100</f>
        <v>0</v>
      </c>
    </row>
    <row r="322" spans="1:4">
      <c r="A322" s="5" t="str">
        <f>'Validation List'!AJ15</f>
        <v>Not answered</v>
      </c>
      <c r="B322" s="3">
        <f>COUNTIF(Table2[Listen to you?],A322)</f>
        <v>0</v>
      </c>
      <c r="C322" s="10">
        <f>B322/No_in_Audit*100</f>
        <v>0</v>
      </c>
      <c r="D322" s="10"/>
    </row>
    <row r="323" spans="1:4">
      <c r="A323" s="5" t="s">
        <v>39</v>
      </c>
      <c r="B323" s="3">
        <f>SUM(B319:B322)</f>
        <v>0</v>
      </c>
      <c r="C323" s="10">
        <f>SUM(C319:C322)</f>
        <v>0</v>
      </c>
      <c r="D323" s="10">
        <f>SUM(D319:D322)</f>
        <v>0</v>
      </c>
    </row>
    <row r="324" spans="1:4">
      <c r="A324" s="2"/>
      <c r="B324" s="8"/>
      <c r="C324" s="11"/>
      <c r="D324" s="11"/>
    </row>
    <row r="325" spans="1:4">
      <c r="A325" s="56" t="s">
        <v>201</v>
      </c>
      <c r="B325" s="57"/>
      <c r="C325" s="57"/>
      <c r="D325" s="57"/>
    </row>
    <row r="326" spans="1:4">
      <c r="A326" s="58" t="str">
        <f>'Validation List'!AK3</f>
        <v>Know your likes and dislikes?</v>
      </c>
      <c r="B326" s="59"/>
      <c r="C326" s="59"/>
      <c r="D326" s="60"/>
    </row>
    <row r="327" spans="1:4">
      <c r="A327" s="5"/>
      <c r="B327" s="3" t="s">
        <v>37</v>
      </c>
      <c r="C327" s="10" t="s">
        <v>38</v>
      </c>
      <c r="D327" s="10" t="s">
        <v>40</v>
      </c>
    </row>
    <row r="328" spans="1:4">
      <c r="A328" s="5" t="str">
        <f>'Validation List'!AK6</f>
        <v>Happy</v>
      </c>
      <c r="B328" s="3">
        <f>COUNTIF(Table2[Know your likes and dislikes?],A328)</f>
        <v>0</v>
      </c>
      <c r="C328" s="10">
        <f>B328/No_in_Audit*100</f>
        <v>0</v>
      </c>
      <c r="D328" s="10">
        <f>B328/(No_in_Audit-COUNTIF(Table2[Know your likes and dislikes?],"Not answered"))*100</f>
        <v>0</v>
      </c>
    </row>
    <row r="329" spans="1:4">
      <c r="A329" s="5" t="str">
        <f>'Validation List'!AK7</f>
        <v>Neutral</v>
      </c>
      <c r="B329" s="3">
        <f>COUNTIF(Table2[Know your likes and dislikes?],A329)</f>
        <v>0</v>
      </c>
      <c r="C329" s="10">
        <f>B329/No_in_Audit*100</f>
        <v>0</v>
      </c>
      <c r="D329" s="10">
        <f>B329/(No_in_Audit-COUNTIF(Table2[Know your likes and dislikes?],"Not answered"))*100</f>
        <v>0</v>
      </c>
    </row>
    <row r="330" spans="1:4">
      <c r="A330" s="5" t="str">
        <f>'Validation List'!AK8</f>
        <v>Unhappy</v>
      </c>
      <c r="B330" s="3">
        <f>COUNTIF(Table2[Know your likes and dislikes?],A330)</f>
        <v>0</v>
      </c>
      <c r="C330" s="10">
        <f>B330/No_in_Audit*100</f>
        <v>0</v>
      </c>
      <c r="D330" s="10">
        <f>B330/(No_in_Audit-COUNTIF(Table2[Know your likes and dislikes?],"Not answered"))*100</f>
        <v>0</v>
      </c>
    </row>
    <row r="331" spans="1:4">
      <c r="A331" s="5" t="str">
        <f>'Validation List'!AK15</f>
        <v>Not answered</v>
      </c>
      <c r="B331" s="3">
        <f>COUNTIF(Table2[Know your likes and dislikes?],A331)</f>
        <v>0</v>
      </c>
      <c r="C331" s="10">
        <f>B331/No_in_Audit*100</f>
        <v>0</v>
      </c>
      <c r="D331" s="10"/>
    </row>
    <row r="332" spans="1:4">
      <c r="A332" s="5" t="s">
        <v>39</v>
      </c>
      <c r="B332" s="3">
        <f>SUM(B328:B331)</f>
        <v>0</v>
      </c>
      <c r="C332" s="10">
        <f>SUM(C328:C331)</f>
        <v>0</v>
      </c>
      <c r="D332" s="10">
        <f>SUM(D328:D330)</f>
        <v>0</v>
      </c>
    </row>
    <row r="333" spans="1:4">
      <c r="A333" s="2"/>
      <c r="B333" s="8"/>
      <c r="C333" s="11"/>
      <c r="D333" s="11"/>
    </row>
    <row r="334" spans="1:4">
      <c r="A334" s="56" t="s">
        <v>201</v>
      </c>
      <c r="B334" s="57"/>
      <c r="C334" s="57"/>
      <c r="D334" s="57"/>
    </row>
    <row r="335" spans="1:4">
      <c r="A335" s="58" t="str">
        <f>'Validation List'!AL3</f>
        <v>Getting dressed?</v>
      </c>
      <c r="B335" s="59"/>
      <c r="C335" s="59"/>
      <c r="D335" s="60"/>
    </row>
    <row r="336" spans="1:4">
      <c r="A336" s="5"/>
      <c r="B336" s="3" t="s">
        <v>37</v>
      </c>
      <c r="C336" s="10" t="s">
        <v>38</v>
      </c>
      <c r="D336" s="10" t="s">
        <v>40</v>
      </c>
    </row>
    <row r="337" spans="1:4">
      <c r="A337" s="5" t="str">
        <f>'Validation List'!AL6</f>
        <v>Happy</v>
      </c>
      <c r="B337" s="3">
        <f>COUNTIF(Table2[Getting dressed?],A337)</f>
        <v>0</v>
      </c>
      <c r="C337" s="10">
        <f>B337/No_in_Audit*100</f>
        <v>0</v>
      </c>
      <c r="D337" s="10">
        <f>B337/(No_in_Audit-COUNTIF(Table2[Getting dressed?],"Not answered"))*100</f>
        <v>0</v>
      </c>
    </row>
    <row r="338" spans="1:4">
      <c r="A338" s="5" t="str">
        <f>'Validation List'!AL7</f>
        <v>Neutral</v>
      </c>
      <c r="B338" s="3">
        <f>COUNTIF(Table2[Getting dressed?],A338)</f>
        <v>0</v>
      </c>
      <c r="C338" s="10">
        <f>B338/No_in_Audit*100</f>
        <v>0</v>
      </c>
      <c r="D338" s="10">
        <f>B338/(No_in_Audit-COUNTIF(Table2[Getting dressed?],"Not answered"))*100</f>
        <v>0</v>
      </c>
    </row>
    <row r="339" spans="1:4">
      <c r="A339" s="5" t="str">
        <f>'Validation List'!AL8</f>
        <v>Unhappy</v>
      </c>
      <c r="B339" s="3">
        <f>COUNTIF(Table2[Getting dressed?],A339)</f>
        <v>0</v>
      </c>
      <c r="C339" s="10">
        <f>B339/No_in_Audit*100</f>
        <v>0</v>
      </c>
      <c r="D339" s="10">
        <f>B339/(No_in_Audit-COUNTIF(Table2[Getting dressed?],"Not answered"))*100</f>
        <v>0</v>
      </c>
    </row>
    <row r="340" spans="1:4">
      <c r="A340" s="5" t="str">
        <f>'Validation List'!AL9</f>
        <v>I do not need support</v>
      </c>
      <c r="B340" s="3">
        <f>COUNTIF(Table2[Getting dressed?],A340)</f>
        <v>0</v>
      </c>
      <c r="C340" s="10">
        <f>B340/No_in_Audit*100</f>
        <v>0</v>
      </c>
      <c r="D340" s="10">
        <f>B340/(No_in_Audit-COUNTIF(Table2[Getting dressed?],"Not answered"))*100</f>
        <v>0</v>
      </c>
    </row>
    <row r="341" spans="1:4">
      <c r="A341" s="5" t="str">
        <f>'Validation List'!AL15</f>
        <v>Not answered</v>
      </c>
      <c r="B341" s="3">
        <f>COUNTIF(Table2[Getting dressed?],A341)</f>
        <v>0</v>
      </c>
      <c r="C341" s="10">
        <f>B341/No_in_Audit*100</f>
        <v>0</v>
      </c>
      <c r="D341" s="10"/>
    </row>
    <row r="342" spans="1:4">
      <c r="A342" s="5" t="s">
        <v>39</v>
      </c>
      <c r="B342" s="3">
        <f>SUM(B337:B341)</f>
        <v>0</v>
      </c>
      <c r="C342" s="10">
        <f>SUM(C337:C341)</f>
        <v>0</v>
      </c>
      <c r="D342" s="10">
        <f>SUM(D337:D340)</f>
        <v>0</v>
      </c>
    </row>
    <row r="343" spans="1:4">
      <c r="A343" s="2"/>
      <c r="B343" s="8"/>
      <c r="C343" s="11"/>
      <c r="D343" s="11"/>
    </row>
    <row r="344" spans="1:4">
      <c r="A344" s="56" t="s">
        <v>201</v>
      </c>
      <c r="B344" s="57"/>
      <c r="C344" s="57"/>
      <c r="D344" s="57"/>
    </row>
    <row r="345" spans="1:4">
      <c r="A345" s="58" t="str">
        <f>'Validation List'!AM3</f>
        <v>Washing?</v>
      </c>
      <c r="B345" s="59"/>
      <c r="C345" s="59"/>
      <c r="D345" s="60"/>
    </row>
    <row r="346" spans="1:4">
      <c r="A346" s="5"/>
      <c r="B346" s="3" t="s">
        <v>37</v>
      </c>
      <c r="C346" s="10" t="s">
        <v>38</v>
      </c>
      <c r="D346" s="10" t="s">
        <v>40</v>
      </c>
    </row>
    <row r="347" spans="1:4">
      <c r="A347" s="5" t="str">
        <f>'Validation List'!AM6</f>
        <v>Happy</v>
      </c>
      <c r="B347" s="3">
        <f>COUNTIF(Table2[Washing?],A347)</f>
        <v>0</v>
      </c>
      <c r="C347" s="10">
        <f>B347/No_in_Audit*100</f>
        <v>0</v>
      </c>
      <c r="D347" s="10">
        <f>B347/(No_in_Audit-COUNTIF(Table2[Washing?],"Not answered"))*100</f>
        <v>0</v>
      </c>
    </row>
    <row r="348" spans="1:4">
      <c r="A348" s="5" t="str">
        <f>'Validation List'!AM7</f>
        <v>Neutral</v>
      </c>
      <c r="B348" s="3">
        <f>COUNTIF(Table2[Washing?],A348)</f>
        <v>0</v>
      </c>
      <c r="C348" s="10">
        <f>B348/No_in_Audit*100</f>
        <v>0</v>
      </c>
      <c r="D348" s="10">
        <f>B348/(No_in_Audit-COUNTIF(Table2[Washing?],"Not answered"))*100</f>
        <v>0</v>
      </c>
    </row>
    <row r="349" spans="1:4">
      <c r="A349" s="5" t="str">
        <f>'Validation List'!AM8</f>
        <v>Unhappy</v>
      </c>
      <c r="B349" s="3">
        <f>COUNTIF(Table2[Washing?],A349)</f>
        <v>0</v>
      </c>
      <c r="C349" s="10">
        <f>B349/No_in_Audit*100</f>
        <v>0</v>
      </c>
      <c r="D349" s="10">
        <f>B349/(No_in_Audit-COUNTIF(Table2[Washing?],"Not answered"))*100</f>
        <v>0</v>
      </c>
    </row>
    <row r="350" spans="1:4">
      <c r="A350" s="5" t="str">
        <f>'Validation List'!AM9</f>
        <v>I do not need support</v>
      </c>
      <c r="B350" s="3">
        <f>COUNTIF(Table2[Washing?],A350)</f>
        <v>0</v>
      </c>
      <c r="C350" s="10">
        <f>B350/No_in_Audit*100</f>
        <v>0</v>
      </c>
      <c r="D350" s="10">
        <f>B350/(No_in_Audit-COUNTIF(Table2[Washing?],"Not answered"))*100</f>
        <v>0</v>
      </c>
    </row>
    <row r="351" spans="1:4">
      <c r="A351" s="5" t="str">
        <f>'Validation List'!AM15</f>
        <v>Not answered</v>
      </c>
      <c r="B351" s="3">
        <f>COUNTIF(Table2[Washing?],A351)</f>
        <v>0</v>
      </c>
      <c r="C351" s="10">
        <f>B351/No_in_Audit*100</f>
        <v>0</v>
      </c>
      <c r="D351" s="10"/>
    </row>
    <row r="352" spans="1:4">
      <c r="A352" s="5" t="s">
        <v>39</v>
      </c>
      <c r="B352" s="3">
        <f>SUM(B347:B351)</f>
        <v>0</v>
      </c>
      <c r="C352" s="10">
        <f>SUM(C347:C351)</f>
        <v>0</v>
      </c>
      <c r="D352" s="10">
        <f>SUM(D347:D351)</f>
        <v>0</v>
      </c>
    </row>
    <row r="353" spans="1:4">
      <c r="A353" s="2"/>
      <c r="B353" s="8"/>
      <c r="C353" s="11"/>
      <c r="D353" s="11"/>
    </row>
    <row r="354" spans="1:4">
      <c r="A354" s="56" t="s">
        <v>201</v>
      </c>
      <c r="B354" s="57"/>
      <c r="C354" s="57"/>
      <c r="D354" s="57"/>
    </row>
    <row r="355" spans="1:4">
      <c r="A355" s="58" t="str">
        <f>'Validation List'!AN3</f>
        <v>Eating or drinking?</v>
      </c>
      <c r="B355" s="59"/>
      <c r="C355" s="59"/>
      <c r="D355" s="60"/>
    </row>
    <row r="356" spans="1:4">
      <c r="A356" s="5"/>
      <c r="B356" s="3" t="s">
        <v>37</v>
      </c>
      <c r="C356" s="10" t="s">
        <v>38</v>
      </c>
      <c r="D356" s="10" t="s">
        <v>40</v>
      </c>
    </row>
    <row r="357" spans="1:4">
      <c r="A357" s="5" t="str">
        <f>'Validation List'!AN6</f>
        <v>Happy</v>
      </c>
      <c r="B357" s="3">
        <f>COUNTIF(Table2[Eating or drinking?],A357)</f>
        <v>0</v>
      </c>
      <c r="C357" s="10">
        <f>B357/No_in_Audit*100</f>
        <v>0</v>
      </c>
      <c r="D357" s="10">
        <f>B357/(No_in_Audit-COUNTIF(Table2[Eating or drinking?],"Not answered"))*100</f>
        <v>0</v>
      </c>
    </row>
    <row r="358" spans="1:4">
      <c r="A358" s="5" t="str">
        <f>'Validation List'!AN7</f>
        <v>Neutral</v>
      </c>
      <c r="B358" s="3">
        <f>COUNTIF(Table2[Eating or drinking?],A358)</f>
        <v>0</v>
      </c>
      <c r="C358" s="10">
        <f>B358/No_in_Audit*100</f>
        <v>0</v>
      </c>
      <c r="D358" s="10">
        <f>B358/(No_in_Audit-COUNTIF(Table2[Eating or drinking?],"Not answered"))*100</f>
        <v>0</v>
      </c>
    </row>
    <row r="359" spans="1:4">
      <c r="A359" s="5" t="str">
        <f>'Validation List'!AN8</f>
        <v>Unhappy</v>
      </c>
      <c r="B359" s="3">
        <f>COUNTIF(Table2[Eating or drinking?],A359)</f>
        <v>0</v>
      </c>
      <c r="C359" s="10">
        <f>B359/No_in_Audit*100</f>
        <v>0</v>
      </c>
      <c r="D359" s="10">
        <f>B359/(No_in_Audit-COUNTIF(Table2[Eating or drinking?],"Not answered"))*100</f>
        <v>0</v>
      </c>
    </row>
    <row r="360" spans="1:4">
      <c r="A360" s="5" t="str">
        <f>'Validation List'!AN9</f>
        <v>I do not need support</v>
      </c>
      <c r="B360" s="3">
        <f>COUNTIF(Table2[Eating or drinking?],A360)</f>
        <v>0</v>
      </c>
      <c r="C360" s="10">
        <f>B360/No_in_Audit*100</f>
        <v>0</v>
      </c>
      <c r="D360" s="10">
        <f>B360/(No_in_Audit-COUNTIF(Table2[Eating or drinking?],"Not answered"))*100</f>
        <v>0</v>
      </c>
    </row>
    <row r="361" spans="1:4">
      <c r="A361" s="5" t="str">
        <f>'Validation List'!AN15</f>
        <v>Not answered</v>
      </c>
      <c r="B361" s="3">
        <f>COUNTIF(Table2[Eating or drinking?],A361)</f>
        <v>0</v>
      </c>
      <c r="C361" s="10">
        <f>B361/No_in_Audit*100</f>
        <v>0</v>
      </c>
      <c r="D361" s="10"/>
    </row>
    <row r="362" spans="1:4">
      <c r="A362" s="5" t="s">
        <v>39</v>
      </c>
      <c r="B362" s="3">
        <f>SUM(B357:B361)</f>
        <v>0</v>
      </c>
      <c r="C362" s="10">
        <f>SUM(C357:C361)</f>
        <v>0</v>
      </c>
      <c r="D362" s="10">
        <f>SUM(D357:D361)</f>
        <v>0</v>
      </c>
    </row>
    <row r="363" spans="1:4">
      <c r="A363" s="2"/>
      <c r="B363" s="8"/>
      <c r="C363" s="11"/>
      <c r="D363" s="11"/>
    </row>
    <row r="364" spans="1:4">
      <c r="A364" s="56" t="s">
        <v>201</v>
      </c>
      <c r="B364" s="57"/>
      <c r="C364" s="57"/>
      <c r="D364" s="57"/>
    </row>
    <row r="365" spans="1:4" ht="25.9" customHeight="1">
      <c r="A365" s="58" t="str">
        <f>'Validation List'!AO3</f>
        <v>Moving about?</v>
      </c>
      <c r="B365" s="59"/>
      <c r="C365" s="59"/>
      <c r="D365" s="60"/>
    </row>
    <row r="366" spans="1:4">
      <c r="A366" s="5"/>
      <c r="B366" s="3" t="s">
        <v>37</v>
      </c>
      <c r="C366" s="10" t="s">
        <v>38</v>
      </c>
      <c r="D366" s="10" t="s">
        <v>40</v>
      </c>
    </row>
    <row r="367" spans="1:4">
      <c r="A367" s="5" t="str">
        <f>'Validation List'!AO6</f>
        <v>Happy</v>
      </c>
      <c r="B367" s="3">
        <f>COUNTIF(Table2[Moving about?],A367)</f>
        <v>0</v>
      </c>
      <c r="C367" s="10">
        <f>B367/No_in_Audit*100</f>
        <v>0</v>
      </c>
      <c r="D367" s="10">
        <f>B367/(No_in_Audit-COUNTIF(Table2[Moving about?],"Not answered"))*100</f>
        <v>0</v>
      </c>
    </row>
    <row r="368" spans="1:4">
      <c r="A368" s="5" t="str">
        <f>'Validation List'!AO7</f>
        <v>Neutral</v>
      </c>
      <c r="B368" s="3">
        <f>COUNTIF(Table2[Moving about?],A368)</f>
        <v>0</v>
      </c>
      <c r="C368" s="10">
        <f>B368/No_in_Audit*100</f>
        <v>0</v>
      </c>
      <c r="D368" s="10">
        <f>B368/(No_in_Audit-COUNTIF(Table2[Moving about?],"Not answered"))*100</f>
        <v>0</v>
      </c>
    </row>
    <row r="369" spans="1:4">
      <c r="A369" s="5" t="str">
        <f>'Validation List'!AO8</f>
        <v>Unhappy</v>
      </c>
      <c r="B369" s="3">
        <f>COUNTIF(Table2[Moving about?],A369)</f>
        <v>0</v>
      </c>
      <c r="C369" s="10">
        <f>B369/No_in_Audit*100</f>
        <v>0</v>
      </c>
      <c r="D369" s="10">
        <f>B369/(No_in_Audit-COUNTIF(Table2[Moving about?],"Not answered"))*100</f>
        <v>0</v>
      </c>
    </row>
    <row r="370" spans="1:4">
      <c r="A370" s="5" t="str">
        <f>'Validation List'!AO9</f>
        <v>I do not need support</v>
      </c>
      <c r="B370" s="3">
        <f>COUNTIF(Table2[Moving about?],A370)</f>
        <v>0</v>
      </c>
      <c r="C370" s="10">
        <f>B370/No_in_Audit*100</f>
        <v>0</v>
      </c>
      <c r="D370" s="10">
        <f>B370/(No_in_Audit-COUNTIF(Table2[Moving about?],"Not answered"))*100</f>
        <v>0</v>
      </c>
    </row>
    <row r="371" spans="1:4">
      <c r="A371" s="5" t="str">
        <f>'Validation List'!AO15</f>
        <v>Not answered</v>
      </c>
      <c r="B371" s="3">
        <f>COUNTIF(Table2[Moving about?],A371)</f>
        <v>0</v>
      </c>
      <c r="C371" s="10">
        <f>B371/No_in_Audit*100</f>
        <v>0</v>
      </c>
      <c r="D371" s="10"/>
    </row>
    <row r="372" spans="1:4">
      <c r="A372" s="5" t="s">
        <v>39</v>
      </c>
      <c r="B372" s="3">
        <f>SUM(B367:B371)</f>
        <v>0</v>
      </c>
      <c r="C372" s="10">
        <f>SUM(C367:C371)</f>
        <v>0</v>
      </c>
      <c r="D372" s="10">
        <f>SUM(D367:D371)</f>
        <v>0</v>
      </c>
    </row>
    <row r="373" spans="1:4">
      <c r="A373" s="2"/>
      <c r="B373" s="8"/>
      <c r="C373" s="11"/>
      <c r="D373" s="11"/>
    </row>
    <row r="374" spans="1:4">
      <c r="A374" s="56" t="s">
        <v>201</v>
      </c>
      <c r="B374" s="57"/>
      <c r="C374" s="57"/>
      <c r="D374" s="57"/>
    </row>
    <row r="375" spans="1:4">
      <c r="A375" s="58" t="str">
        <f>'Validation List'!AP3</f>
        <v xml:space="preserve">Taking part in social and recreational activities inside your centre? </v>
      </c>
      <c r="B375" s="59"/>
      <c r="C375" s="59"/>
      <c r="D375" s="60"/>
    </row>
    <row r="376" spans="1:4">
      <c r="A376" s="5"/>
      <c r="B376" s="3" t="s">
        <v>37</v>
      </c>
      <c r="C376" s="10" t="s">
        <v>38</v>
      </c>
      <c r="D376" s="10" t="s">
        <v>40</v>
      </c>
    </row>
    <row r="377" spans="1:4">
      <c r="A377" s="5" t="str">
        <f>'Validation List'!AP6</f>
        <v>Happy</v>
      </c>
      <c r="B377" s="3">
        <f>COUNTIF(Table2[Taking part in social and recreational activities inside your centre? ],A377)</f>
        <v>0</v>
      </c>
      <c r="C377" s="10">
        <f>B377/No_in_Audit*100</f>
        <v>0</v>
      </c>
      <c r="D377" s="10">
        <f>B377/(No_in_Audit-COUNTIF(Table2[Taking part in social and recreational activities inside your centre? ],"Not answered"))*100</f>
        <v>0</v>
      </c>
    </row>
    <row r="378" spans="1:4">
      <c r="A378" s="5" t="str">
        <f>'Validation List'!AP7</f>
        <v>Neutral</v>
      </c>
      <c r="B378" s="3">
        <f>COUNTIF(Table2[Taking part in social and recreational activities inside your centre? ],A378)</f>
        <v>0</v>
      </c>
      <c r="C378" s="10">
        <f>B378/No_in_Audit*100</f>
        <v>0</v>
      </c>
      <c r="D378" s="10">
        <f>B378/(No_in_Audit-COUNTIF(Table2[Taking part in social and recreational activities inside your centre? ],"Not answered"))*100</f>
        <v>0</v>
      </c>
    </row>
    <row r="379" spans="1:4">
      <c r="A379" s="5" t="str">
        <f>'Validation List'!AP8</f>
        <v>Unhappy</v>
      </c>
      <c r="B379" s="3">
        <f>COUNTIF(Table2[Taking part in social and recreational activities inside your centre? ],A379)</f>
        <v>0</v>
      </c>
      <c r="C379" s="10">
        <f>B379/No_in_Audit*100</f>
        <v>0</v>
      </c>
      <c r="D379" s="10">
        <f>B379/(No_in_Audit-COUNTIF(Table2[Taking part in social and recreational activities inside your centre? ],"Not answered"))*100</f>
        <v>0</v>
      </c>
    </row>
    <row r="380" spans="1:4">
      <c r="A380" s="5" t="str">
        <f>'Validation List'!AP9</f>
        <v>I do not need support</v>
      </c>
      <c r="B380" s="3">
        <f>COUNTIF(Table2[Taking part in social and recreational activities inside your centre? ],A380)</f>
        <v>0</v>
      </c>
      <c r="C380" s="10">
        <f>B380/No_in_Audit*100</f>
        <v>0</v>
      </c>
      <c r="D380" s="10">
        <f>B380/(No_in_Audit-COUNTIF(Table2[Taking part in social and recreational activities inside your centre? ],"Not answered"))*100</f>
        <v>0</v>
      </c>
    </row>
    <row r="381" spans="1:4">
      <c r="A381" s="5" t="str">
        <f>'Validation List'!AP15</f>
        <v>Not answered</v>
      </c>
      <c r="B381" s="3">
        <f>COUNTIF(Table2[Taking part in social and recreational activities inside your centre? ],A381)</f>
        <v>0</v>
      </c>
      <c r="C381" s="10">
        <f>B381/No_in_Audit*100</f>
        <v>0</v>
      </c>
      <c r="D381" s="10"/>
    </row>
    <row r="382" spans="1:4">
      <c r="A382" s="5" t="s">
        <v>39</v>
      </c>
      <c r="B382" s="3">
        <f>SUM(B377:B381)</f>
        <v>0</v>
      </c>
      <c r="C382" s="10">
        <f>SUM(C377:C381)</f>
        <v>0</v>
      </c>
      <c r="D382" s="10">
        <f>SUM(D377:D381)</f>
        <v>0</v>
      </c>
    </row>
    <row r="383" spans="1:4">
      <c r="A383" s="2"/>
      <c r="B383" s="8"/>
      <c r="C383" s="11"/>
      <c r="D383" s="11"/>
    </row>
    <row r="384" spans="1:4">
      <c r="A384" s="56" t="s">
        <v>201</v>
      </c>
      <c r="B384" s="57"/>
      <c r="C384" s="57"/>
      <c r="D384" s="57"/>
    </row>
    <row r="385" spans="1:4">
      <c r="A385" s="58" t="str">
        <f>'Validation List'!AQ3</f>
        <v xml:space="preserve">Taking part in activities outside your centre?  </v>
      </c>
      <c r="B385" s="59"/>
      <c r="C385" s="59"/>
      <c r="D385" s="60"/>
    </row>
    <row r="386" spans="1:4">
      <c r="A386" s="5"/>
      <c r="B386" s="3" t="s">
        <v>37</v>
      </c>
      <c r="C386" s="10" t="s">
        <v>38</v>
      </c>
      <c r="D386" s="10" t="s">
        <v>40</v>
      </c>
    </row>
    <row r="387" spans="1:4">
      <c r="A387" s="5" t="str">
        <f>'Validation List'!AQ6</f>
        <v>Happy</v>
      </c>
      <c r="B387" s="3">
        <f>COUNTIF(Table2[Taking part in activities outside your centre?  ],A387)</f>
        <v>0</v>
      </c>
      <c r="C387" s="10">
        <f>B387/No_in_Audit*100</f>
        <v>0</v>
      </c>
      <c r="D387" s="10">
        <f>B387/(No_in_Audit-COUNTIF(Table2[Taking part in activities outside your centre?  ],"Not answered"))*100</f>
        <v>0</v>
      </c>
    </row>
    <row r="388" spans="1:4">
      <c r="A388" s="5" t="str">
        <f>'Validation List'!AQ7</f>
        <v>Neutral</v>
      </c>
      <c r="B388" s="3">
        <f>COUNTIF(Table2[Taking part in activities outside your centre?  ],A388)</f>
        <v>0</v>
      </c>
      <c r="C388" s="10">
        <f>B388/No_in_Audit*100</f>
        <v>0</v>
      </c>
      <c r="D388" s="10">
        <f>B388/(No_in_Audit-COUNTIF(Table2[Taking part in activities outside your centre?  ],"Not answered"))*100</f>
        <v>0</v>
      </c>
    </row>
    <row r="389" spans="1:4">
      <c r="A389" s="5" t="str">
        <f>'Validation List'!AQ8</f>
        <v>Unhappy</v>
      </c>
      <c r="B389" s="3">
        <f>COUNTIF(Table2[Taking part in activities outside your centre?  ],A389)</f>
        <v>0</v>
      </c>
      <c r="C389" s="10">
        <f>B389/No_in_Audit*100</f>
        <v>0</v>
      </c>
      <c r="D389" s="10">
        <f>B389/(No_in_Audit-COUNTIF(Table2[Taking part in activities outside your centre?  ],"Not answered"))*100</f>
        <v>0</v>
      </c>
    </row>
    <row r="390" spans="1:4">
      <c r="A390" s="5" t="str">
        <f>'Validation List'!AQ9</f>
        <v>I do not need support</v>
      </c>
      <c r="B390" s="3">
        <f>COUNTIF(Table2[Taking part in activities outside your centre?  ],A390)</f>
        <v>0</v>
      </c>
      <c r="C390" s="10">
        <f>B390/No_in_Audit*100</f>
        <v>0</v>
      </c>
      <c r="D390" s="10">
        <f>B390/(No_in_Audit-COUNTIF(Table2[Taking part in activities outside your centre?  ],"Not answered"))*100</f>
        <v>0</v>
      </c>
    </row>
    <row r="391" spans="1:4">
      <c r="A391" s="5" t="str">
        <f>'Validation List'!AQ15</f>
        <v>Not answered</v>
      </c>
      <c r="B391" s="3">
        <f>COUNTIF(Table2[Taking part in activities outside your centre?  ],A391)</f>
        <v>0</v>
      </c>
      <c r="C391" s="10">
        <f>B391/No_in_Audit*100</f>
        <v>0</v>
      </c>
      <c r="D391" s="10"/>
    </row>
    <row r="392" spans="1:4">
      <c r="A392" s="5" t="s">
        <v>39</v>
      </c>
      <c r="B392" s="3">
        <f>SUM(B387:B391)</f>
        <v>0</v>
      </c>
      <c r="C392" s="10">
        <f>SUM(C387:C391)</f>
        <v>0</v>
      </c>
      <c r="D392" s="10">
        <f>SUM(D387:D391)</f>
        <v>0</v>
      </c>
    </row>
    <row r="393" spans="1:4">
      <c r="A393" s="2"/>
      <c r="B393" s="8"/>
      <c r="C393" s="11"/>
      <c r="D393" s="11"/>
    </row>
    <row r="394" spans="1:4">
      <c r="A394" s="2"/>
      <c r="B394" s="8"/>
      <c r="C394" s="11"/>
      <c r="D394" s="11"/>
    </row>
    <row r="395" spans="1:4">
      <c r="A395" s="58" t="str">
        <f>'Validation List'!AR3</f>
        <v>Who would you speak with if you were unhappy with something in your Centre</v>
      </c>
      <c r="B395" s="59"/>
      <c r="C395" s="59"/>
      <c r="D395" s="60"/>
    </row>
    <row r="396" spans="1:4">
      <c r="A396" s="5"/>
      <c r="B396" s="3" t="s">
        <v>37</v>
      </c>
      <c r="C396" s="10" t="s">
        <v>38</v>
      </c>
      <c r="D396" s="10" t="s">
        <v>40</v>
      </c>
    </row>
    <row r="397" spans="1:4">
      <c r="A397" s="5" t="str">
        <f>'Validation List'!AR6</f>
        <v>Staff member</v>
      </c>
      <c r="B397" s="3">
        <f>COUNTIF(Table2[Who would you speak with if you were unhappy with something in your Centre],A397)</f>
        <v>0</v>
      </c>
      <c r="C397" s="10">
        <f t="shared" ref="C397:C406" si="0">B397/No_in_Audit*100</f>
        <v>0</v>
      </c>
      <c r="D397" s="10">
        <f>B397/(No_in_Audit-COUNTIF(Table2[Who would you speak with if you were unhappy with something in your Centre],"Not answered"))*100</f>
        <v>0</v>
      </c>
    </row>
    <row r="398" spans="1:4">
      <c r="A398" s="5" t="str">
        <f>'Validation List'!AR7</f>
        <v>Family member or friend</v>
      </c>
      <c r="B398" s="3">
        <f>COUNTIF(Table2[Who would you speak with if you were unhappy with something in your Centre],A398)</f>
        <v>0</v>
      </c>
      <c r="C398" s="10">
        <f t="shared" si="0"/>
        <v>0</v>
      </c>
      <c r="D398" s="10">
        <f>B398/(No_in_Audit-COUNTIF(Table2[Who would you speak with if you were unhappy with something in your Centre],"Not answered"))*100</f>
        <v>0</v>
      </c>
    </row>
    <row r="399" spans="1:4">
      <c r="A399" s="5" t="str">
        <f>'Validation List'!AR8</f>
        <v>Don't know</v>
      </c>
      <c r="B399" s="3">
        <f>COUNTIF(Table2[Who would you speak with if you were unhappy with something in your Centre],A399)</f>
        <v>0</v>
      </c>
      <c r="C399" s="10">
        <f t="shared" si="0"/>
        <v>0</v>
      </c>
      <c r="D399" s="10">
        <f>B399/(No_in_Audit-COUNTIF(Table2[Who would you speak with if you were unhappy with something in your Centre],"Not answered"))*100</f>
        <v>0</v>
      </c>
    </row>
    <row r="400" spans="1:4">
      <c r="A400" s="5" t="str">
        <f>'Validation List'!AR9</f>
        <v>Ombudsman</v>
      </c>
      <c r="B400" s="3">
        <f>COUNTIF(Table2[Who would you speak with if you were unhappy with something in your Centre],A400)</f>
        <v>0</v>
      </c>
      <c r="C400" s="10">
        <f t="shared" si="0"/>
        <v>0</v>
      </c>
      <c r="D400" s="10">
        <f>B400/(No_in_Audit-COUNTIF(Table2[Who would you speak with if you were unhappy with something in your Centre],"Not answered"))*100</f>
        <v>0</v>
      </c>
    </row>
    <row r="401" spans="1:4">
      <c r="A401" s="5" t="str">
        <f>'Validation List'!AR10</f>
        <v>Confidential Recipient</v>
      </c>
      <c r="B401" s="3">
        <f>COUNTIF(Table2[Who would you speak with if you were unhappy with something in your Centre],A401)</f>
        <v>0</v>
      </c>
      <c r="C401" s="10">
        <f t="shared" si="0"/>
        <v>0</v>
      </c>
      <c r="D401" s="10">
        <f>B401/(No_in_Audit-COUNTIF(Table2[Who would you speak with if you were unhappy with something in your Centre],"Not answered"))*100</f>
        <v>0</v>
      </c>
    </row>
    <row r="402" spans="1:4">
      <c r="A402" s="5" t="str">
        <f>'Validation List'!AR11</f>
        <v>Independent Advocate</v>
      </c>
      <c r="B402" s="3">
        <f>COUNTIF(Table2[Who would you speak with if you were unhappy with something in your Centre],A402)</f>
        <v>0</v>
      </c>
      <c r="C402" s="10">
        <f t="shared" si="0"/>
        <v>0</v>
      </c>
      <c r="D402" s="10">
        <f>B402/(No_in_Audit-COUNTIF(Table2[Who would you speak with if you were unhappy with something in your Centre],"Not answered"))*100</f>
        <v>0</v>
      </c>
    </row>
    <row r="403" spans="1:4">
      <c r="A403" s="5" t="str">
        <f>'Validation List'!AR12</f>
        <v>Complaints Officer</v>
      </c>
      <c r="B403" s="3">
        <f>COUNTIF(Table2[Who would you speak with if you were unhappy with something in your Centre],A403)</f>
        <v>0</v>
      </c>
      <c r="C403" s="10">
        <f t="shared" si="0"/>
        <v>0</v>
      </c>
      <c r="D403" s="10">
        <f>B403/(No_in_Audit-COUNTIF(Table2[Who would you speak with if you were unhappy with something in your Centre],"Not answered"))*100</f>
        <v>0</v>
      </c>
    </row>
    <row r="404" spans="1:4">
      <c r="A404" s="5" t="str">
        <f>'Validation List'!AR13</f>
        <v>Disability Manager</v>
      </c>
      <c r="B404" s="3">
        <f>COUNTIF(Table2[Who would you speak with if you were unhappy with something in your Centre],A404)</f>
        <v>0</v>
      </c>
      <c r="C404" s="10">
        <f t="shared" si="0"/>
        <v>0</v>
      </c>
      <c r="D404" s="10">
        <f>B404/(No_in_Audit-COUNTIF(Table2[Who would you speak with if you were unhappy with something in your Centre],"Not answered"))*100</f>
        <v>0</v>
      </c>
    </row>
    <row r="405" spans="1:4">
      <c r="A405" s="5" t="str">
        <f>'Validation List'!AR14</f>
        <v>Not applicable to me</v>
      </c>
      <c r="B405" s="3">
        <f>COUNTIF(Table2[Who would you speak with if you were unhappy with something in your Centre],A405)</f>
        <v>0</v>
      </c>
      <c r="C405" s="10">
        <f t="shared" si="0"/>
        <v>0</v>
      </c>
      <c r="D405" s="10">
        <f>B405/(No_in_Audit-COUNTIF(Table2[Who would you speak with if you were unhappy with something in your Centre],"Not answered"))*100</f>
        <v>0</v>
      </c>
    </row>
    <row r="406" spans="1:4">
      <c r="A406" s="5" t="str">
        <f>'Validation List'!AR15</f>
        <v>Not answered</v>
      </c>
      <c r="B406" s="3">
        <f>COUNTIF(Table2[Who would you speak with if you were unhappy with something in your Centre],A406)</f>
        <v>0</v>
      </c>
      <c r="C406" s="10">
        <f t="shared" si="0"/>
        <v>0</v>
      </c>
      <c r="D406" s="10"/>
    </row>
    <row r="407" spans="1:4">
      <c r="A407" s="5" t="s">
        <v>39</v>
      </c>
      <c r="B407" s="3">
        <f>SUM(B397:B406)</f>
        <v>0</v>
      </c>
      <c r="C407" s="10">
        <f>SUM(C397:C406)</f>
        <v>0</v>
      </c>
      <c r="D407" s="10">
        <f>SUM(D397:D406)</f>
        <v>0</v>
      </c>
    </row>
    <row r="408" spans="1:4">
      <c r="A408" s="2"/>
      <c r="B408" s="8"/>
      <c r="C408" s="11"/>
      <c r="D408" s="11"/>
    </row>
    <row r="409" spans="1:4">
      <c r="A409" s="56" t="s">
        <v>202</v>
      </c>
      <c r="B409" s="57"/>
      <c r="C409" s="57"/>
      <c r="D409" s="57"/>
    </row>
    <row r="410" spans="1:4">
      <c r="A410" s="58" t="str">
        <f>'Validation List'!AS3</f>
        <v>Have you ever made a complaint about something in your Centre?</v>
      </c>
      <c r="B410" s="59"/>
      <c r="C410" s="59"/>
      <c r="D410" s="60"/>
    </row>
    <row r="411" spans="1:4">
      <c r="A411" s="5"/>
      <c r="B411" s="3" t="s">
        <v>37</v>
      </c>
      <c r="C411" s="10" t="s">
        <v>38</v>
      </c>
      <c r="D411" s="10" t="s">
        <v>40</v>
      </c>
    </row>
    <row r="412" spans="1:4">
      <c r="A412" s="5" t="str">
        <f>'Validation List'!AS6</f>
        <v>Yes</v>
      </c>
      <c r="B412" s="3">
        <f>COUNTIF(Table2[Have you ever made a complaint about something in your Centre?],A412)</f>
        <v>0</v>
      </c>
      <c r="C412" s="10">
        <f>B412/No_in_Audit*100</f>
        <v>0</v>
      </c>
      <c r="D412" s="10">
        <f>B412/(No_in_Audit-COUNTIF(Table2[Have you ever made a complaint about something in your Centre?],"Not answered"))*100</f>
        <v>0</v>
      </c>
    </row>
    <row r="413" spans="1:4">
      <c r="A413" s="5" t="str">
        <f>'Validation List'!AS7</f>
        <v>No</v>
      </c>
      <c r="B413" s="3">
        <f>COUNTIF(Table2[Have you ever made a complaint about something in your Centre?],A413)</f>
        <v>0</v>
      </c>
      <c r="C413" s="10">
        <f>B413/No_in_Audit*100</f>
        <v>0</v>
      </c>
      <c r="D413" s="10">
        <f>B413/(No_in_Audit-COUNTIF(Table2[Have you ever made a complaint about something in your Centre?],"Not answered"))*100</f>
        <v>0</v>
      </c>
    </row>
    <row r="414" spans="1:4">
      <c r="A414" s="5" t="str">
        <f>'Validation List'!AS8</f>
        <v>Not applicable to me</v>
      </c>
      <c r="B414" s="3">
        <f>COUNTIF(Table2[Have you ever made a complaint about something in your Centre?],A414)</f>
        <v>0</v>
      </c>
      <c r="C414" s="10">
        <f>B414/No_in_Audit*100</f>
        <v>0</v>
      </c>
      <c r="D414" s="10">
        <f>B414/(No_in_Audit-COUNTIF(Table2[Have you ever made a complaint about something in your Centre?],"Not answered"))*100</f>
        <v>0</v>
      </c>
    </row>
    <row r="415" spans="1:4">
      <c r="A415" s="5" t="str">
        <f>'Validation List'!AS15</f>
        <v>Not answered</v>
      </c>
      <c r="B415" s="3">
        <f>COUNTIF(Table2[Have you ever made a complaint about something in your Centre?],A415)</f>
        <v>0</v>
      </c>
      <c r="C415" s="10">
        <f>B415/No_in_Audit*100</f>
        <v>0</v>
      </c>
      <c r="D415" s="10"/>
    </row>
    <row r="416" spans="1:4">
      <c r="A416" s="5" t="s">
        <v>39</v>
      </c>
      <c r="B416" s="3">
        <f>SUM(B412:B415)</f>
        <v>0</v>
      </c>
      <c r="C416" s="10">
        <f>SUM(C412:C415)</f>
        <v>0</v>
      </c>
      <c r="D416" s="10">
        <f>SUM(D412:D415)</f>
        <v>0</v>
      </c>
    </row>
    <row r="417" spans="1:4">
      <c r="A417" s="2"/>
      <c r="B417" s="8"/>
      <c r="C417" s="11"/>
      <c r="D417" s="11"/>
    </row>
    <row r="418" spans="1:4">
      <c r="A418" s="56" t="s">
        <v>202</v>
      </c>
      <c r="B418" s="57"/>
      <c r="C418" s="57"/>
      <c r="D418" s="57"/>
    </row>
    <row r="419" spans="1:4" ht="15" customHeight="1">
      <c r="A419" s="58" t="str">
        <f>'Validation List'!AT3</f>
        <v>Were you happy with the way your complaint was dealt with?</v>
      </c>
      <c r="B419" s="59"/>
      <c r="C419" s="59"/>
      <c r="D419" s="64"/>
    </row>
    <row r="420" spans="1:4">
      <c r="A420" s="5"/>
      <c r="B420" s="3" t="s">
        <v>37</v>
      </c>
      <c r="C420" s="10" t="s">
        <v>38</v>
      </c>
      <c r="D420" s="10" t="s">
        <v>40</v>
      </c>
    </row>
    <row r="421" spans="1:4">
      <c r="A421" s="5" t="str">
        <f>'Validation List'!AT6</f>
        <v>Yes</v>
      </c>
      <c r="B421" s="3">
        <f>COUNTIF(Table2[Were you happy with the way your complaint was dealt with?],A421)</f>
        <v>0</v>
      </c>
      <c r="C421" s="10">
        <f>B421/No_in_Audit*100</f>
        <v>0</v>
      </c>
      <c r="D421" s="10">
        <f>B421/(No_in_Audit-COUNTIF(Table2[Were you happy with the way your complaint was dealt with?],"Not answered"))*100</f>
        <v>0</v>
      </c>
    </row>
    <row r="422" spans="1:4">
      <c r="A422" s="5" t="str">
        <f>'Validation List'!AT7</f>
        <v>No</v>
      </c>
      <c r="B422" s="3">
        <f>COUNTIF(Table2[Were you happy with the way your complaint was dealt with?],A422)</f>
        <v>0</v>
      </c>
      <c r="C422" s="10">
        <f>B422/No_in_Audit*100</f>
        <v>0</v>
      </c>
      <c r="D422" s="10">
        <f>B422/(No_in_Audit-COUNTIF(Table2[Were you happy with the way your complaint was dealt with?],"Not answered"))*100</f>
        <v>0</v>
      </c>
    </row>
    <row r="423" spans="1:4">
      <c r="A423" s="5" t="str">
        <f>'Validation List'!AT8</f>
        <v>Not applicable to me</v>
      </c>
      <c r="B423" s="3">
        <f>COUNTIF(Table2[Were you happy with the way your complaint was dealt with?],A423)</f>
        <v>0</v>
      </c>
      <c r="C423" s="10">
        <f>B423/No_in_Audit*100</f>
        <v>0</v>
      </c>
      <c r="D423" s="10">
        <f>B423/(No_in_Audit-COUNTIF(Table2[Were you happy with the way your complaint was dealt with?],"Not answered"))*100</f>
        <v>0</v>
      </c>
    </row>
    <row r="424" spans="1:4">
      <c r="A424" s="5" t="str">
        <f>'Validation List'!AT15</f>
        <v>Not answered</v>
      </c>
      <c r="B424" s="3">
        <f>COUNTIF(Table2[Were you happy with the way your complaint was dealt with?],A424)</f>
        <v>0</v>
      </c>
      <c r="C424" s="10">
        <f>B424/No_in_Audit*100</f>
        <v>0</v>
      </c>
      <c r="D424" s="10"/>
    </row>
    <row r="425" spans="1:4">
      <c r="A425" s="5" t="s">
        <v>39</v>
      </c>
      <c r="B425" s="3">
        <f>SUM(B421:B424)</f>
        <v>0</v>
      </c>
      <c r="C425" s="10">
        <f>SUM(C421:C424)</f>
        <v>0</v>
      </c>
      <c r="D425" s="10">
        <f>SUM(D421:D424)</f>
        <v>0</v>
      </c>
    </row>
    <row r="426" spans="1:4">
      <c r="A426" s="2"/>
      <c r="B426" s="8"/>
      <c r="C426" s="11"/>
      <c r="D426" s="11"/>
    </row>
    <row r="427" spans="1:4">
      <c r="A427" s="2"/>
      <c r="B427" s="8"/>
      <c r="C427" s="11"/>
      <c r="D427" s="11"/>
    </row>
    <row r="428" spans="1:4">
      <c r="A428" s="58" t="str">
        <f>'Validation List'!AU3</f>
        <v xml:space="preserve">Person completing this form </v>
      </c>
      <c r="B428" s="59"/>
      <c r="C428" s="59"/>
      <c r="D428" s="60"/>
    </row>
    <row r="429" spans="1:4">
      <c r="A429" s="5"/>
      <c r="B429" s="3" t="s">
        <v>37</v>
      </c>
      <c r="C429" s="10" t="s">
        <v>38</v>
      </c>
      <c r="D429" s="10" t="s">
        <v>40</v>
      </c>
    </row>
    <row r="430" spans="1:4">
      <c r="A430" s="5" t="str">
        <f>'Validation List'!AU6</f>
        <v>Resident</v>
      </c>
      <c r="B430" s="3">
        <f>COUNTIF(Table2[[Person completing this form ]],A430)</f>
        <v>0</v>
      </c>
      <c r="C430" s="10">
        <f t="shared" ref="C430:C434" si="1">B430/No_in_Audit*100</f>
        <v>0</v>
      </c>
      <c r="D430" s="10">
        <f>B430/(No_in_Audit-COUNTIF(Table2[[Person completing this form ]],"Not answered"))*100</f>
        <v>0</v>
      </c>
    </row>
    <row r="431" spans="1:4">
      <c r="A431" s="5" t="str">
        <f>'Validation List'!AU7</f>
        <v>Relative or friend</v>
      </c>
      <c r="B431" s="3">
        <f>COUNTIF(Table2[[Person completing this form ]],A431)</f>
        <v>0</v>
      </c>
      <c r="C431" s="10">
        <f t="shared" si="1"/>
        <v>0</v>
      </c>
      <c r="D431" s="10">
        <f>B431/(No_in_Audit-COUNTIF(Table2[[Person completing this form ]],"Not answered"))*100</f>
        <v>0</v>
      </c>
    </row>
    <row r="432" spans="1:4">
      <c r="A432" s="5" t="str">
        <f>'Validation List'!AU8</f>
        <v>Staff member</v>
      </c>
      <c r="B432" s="3">
        <f>COUNTIF(Table2[[Person completing this form ]],A432)</f>
        <v>0</v>
      </c>
      <c r="C432" s="10">
        <f t="shared" si="1"/>
        <v>0</v>
      </c>
      <c r="D432" s="10">
        <f>B432/(No_in_Audit-COUNTIF(Table2[[Person completing this form ]],"Not answered"))*100</f>
        <v>0</v>
      </c>
    </row>
    <row r="433" spans="1:4">
      <c r="A433" s="5" t="str">
        <f>'Validation List'!AU9</f>
        <v>Other</v>
      </c>
      <c r="B433" s="3">
        <f>COUNTIF(Table2[[Person completing this form ]],A433)</f>
        <v>0</v>
      </c>
      <c r="C433" s="10">
        <f t="shared" si="1"/>
        <v>0</v>
      </c>
      <c r="D433" s="10">
        <f>B433/(No_in_Audit-COUNTIF(Table2[[Person completing this form ]],"Not answered"))*100</f>
        <v>0</v>
      </c>
    </row>
    <row r="434" spans="1:4">
      <c r="A434" s="5" t="str">
        <f>'Validation List'!AU15</f>
        <v>Not answered</v>
      </c>
      <c r="B434" s="3">
        <f>COUNTIF(Table2[[Person completing this form ]],A434)</f>
        <v>0</v>
      </c>
      <c r="C434" s="10">
        <f t="shared" si="1"/>
        <v>0</v>
      </c>
      <c r="D434" s="10"/>
    </row>
    <row r="435" spans="1:4">
      <c r="A435" s="5" t="s">
        <v>39</v>
      </c>
      <c r="B435" s="3">
        <f>SUM(B430:B434)</f>
        <v>0</v>
      </c>
      <c r="C435" s="10">
        <f>SUM(C430:C434)</f>
        <v>0</v>
      </c>
      <c r="D435" s="10">
        <f>SUM(D430:D434)</f>
        <v>0</v>
      </c>
    </row>
    <row r="436" spans="1:4">
      <c r="A436" s="2"/>
      <c r="B436" s="8"/>
      <c r="C436" s="11"/>
      <c r="D436" s="11"/>
    </row>
    <row r="437" spans="1:4">
      <c r="A437" s="2"/>
      <c r="B437" s="8"/>
      <c r="C437" s="11"/>
      <c r="D437" s="11"/>
    </row>
    <row r="438" spans="1:4">
      <c r="A438" s="58" t="str">
        <f>'Validation List'!AV3</f>
        <v>Would you like the PIC  to contact you to discuss anything in this questionnaire</v>
      </c>
      <c r="B438" s="59"/>
      <c r="C438" s="59"/>
      <c r="D438" s="60"/>
    </row>
    <row r="439" spans="1:4">
      <c r="A439" s="5"/>
      <c r="B439" s="3" t="s">
        <v>37</v>
      </c>
      <c r="C439" s="10" t="s">
        <v>38</v>
      </c>
      <c r="D439" s="10" t="s">
        <v>40</v>
      </c>
    </row>
    <row r="440" spans="1:4">
      <c r="A440" s="5" t="str">
        <f>'Validation List'!AV6</f>
        <v>Yes</v>
      </c>
      <c r="B440" s="3">
        <f>COUNTIF(Table2[Would you like the PIC  to contact you to discuss anything in this questionnaire],A440)</f>
        <v>0</v>
      </c>
      <c r="C440" s="10">
        <f>B440/No_in_Audit*100</f>
        <v>0</v>
      </c>
      <c r="D440" s="10">
        <f>B440/(No_in_Audit-COUNTIF(Table2[Would you like the PIC  to contact you to discuss anything in this questionnaire],"Not answered"))*100</f>
        <v>0</v>
      </c>
    </row>
    <row r="441" spans="1:4">
      <c r="A441" s="5" t="str">
        <f>'Validation List'!AV7</f>
        <v>No</v>
      </c>
      <c r="B441" s="3">
        <f>COUNTIF(Table2[Would you like the PIC  to contact you to discuss anything in this questionnaire],A441)</f>
        <v>0</v>
      </c>
      <c r="C441" s="10">
        <f>B441/No_in_Audit*100</f>
        <v>0</v>
      </c>
      <c r="D441" s="10">
        <f>B441/(No_in_Audit-COUNTIF(Table2[Would you like the PIC  to contact you to discuss anything in this questionnaire],"Not answered"))*100</f>
        <v>0</v>
      </c>
    </row>
    <row r="442" spans="1:4">
      <c r="A442" s="5" t="str">
        <f>'Validation List'!AV15</f>
        <v>Not answered</v>
      </c>
      <c r="B442" s="3">
        <f>COUNTIF(Table2[Would you like the PIC  to contact you to discuss anything in this questionnaire],A442)</f>
        <v>0</v>
      </c>
      <c r="C442" s="10">
        <f>B442/No_in_Audit*100</f>
        <v>0</v>
      </c>
      <c r="D442" s="10"/>
    </row>
    <row r="443" spans="1:4">
      <c r="A443" s="5" t="s">
        <v>39</v>
      </c>
      <c r="B443" s="3">
        <f>SUM(B440:B442)</f>
        <v>0</v>
      </c>
      <c r="C443" s="10">
        <f>SUM(C440:C442)</f>
        <v>0</v>
      </c>
      <c r="D443" s="10">
        <f>SUM(D440:D442)</f>
        <v>0</v>
      </c>
    </row>
    <row r="444" spans="1:4">
      <c r="A444" s="2"/>
      <c r="B444" s="8"/>
      <c r="C444" s="11"/>
      <c r="D444" s="11"/>
    </row>
    <row r="445" spans="1:4">
      <c r="A445" s="2"/>
      <c r="B445" s="8"/>
      <c r="C445" s="11"/>
      <c r="D445" s="11"/>
    </row>
  </sheetData>
  <sheetProtection sheet="1" objects="1" scenarios="1"/>
  <mergeCells count="98">
    <mergeCell ref="B6:D6"/>
    <mergeCell ref="A10:D10"/>
    <mergeCell ref="A19:D19"/>
    <mergeCell ref="A29:D29"/>
    <mergeCell ref="A1:D1"/>
    <mergeCell ref="B2:D2"/>
    <mergeCell ref="B3:D3"/>
    <mergeCell ref="B4:D4"/>
    <mergeCell ref="B5:D5"/>
    <mergeCell ref="B7:D7"/>
    <mergeCell ref="A38:D38"/>
    <mergeCell ref="A110:D110"/>
    <mergeCell ref="A155:D155"/>
    <mergeCell ref="A164:D164"/>
    <mergeCell ref="A173:D173"/>
    <mergeCell ref="A92:D92"/>
    <mergeCell ref="A101:D101"/>
    <mergeCell ref="A47:D47"/>
    <mergeCell ref="A56:D56"/>
    <mergeCell ref="A65:D65"/>
    <mergeCell ref="A74:D74"/>
    <mergeCell ref="A83:D83"/>
    <mergeCell ref="A118:D118"/>
    <mergeCell ref="A290:D290"/>
    <mergeCell ref="A235:D235"/>
    <mergeCell ref="A244:D244"/>
    <mergeCell ref="A182:D182"/>
    <mergeCell ref="A119:D119"/>
    <mergeCell ref="A128:D128"/>
    <mergeCell ref="A137:D137"/>
    <mergeCell ref="A146:D146"/>
    <mergeCell ref="A127:D127"/>
    <mergeCell ref="A136:D136"/>
    <mergeCell ref="A145:D145"/>
    <mergeCell ref="A154:D154"/>
    <mergeCell ref="A163:D163"/>
    <mergeCell ref="A172:D172"/>
    <mergeCell ref="A181:D181"/>
    <mergeCell ref="A227:D227"/>
    <mergeCell ref="A236:D236"/>
    <mergeCell ref="A245:D245"/>
    <mergeCell ref="A254:D254"/>
    <mergeCell ref="A263:D263"/>
    <mergeCell ref="A335:D335"/>
    <mergeCell ref="A253:D253"/>
    <mergeCell ref="A262:D262"/>
    <mergeCell ref="A271:D271"/>
    <mergeCell ref="A280:D280"/>
    <mergeCell ref="A289:D289"/>
    <mergeCell ref="A272:D272"/>
    <mergeCell ref="A281:D281"/>
    <mergeCell ref="A298:D298"/>
    <mergeCell ref="A307:D307"/>
    <mergeCell ref="A316:D316"/>
    <mergeCell ref="A325:D325"/>
    <mergeCell ref="A355:D355"/>
    <mergeCell ref="A344:D344"/>
    <mergeCell ref="A354:D354"/>
    <mergeCell ref="A419:D419"/>
    <mergeCell ref="A364:D364"/>
    <mergeCell ref="A374:D374"/>
    <mergeCell ref="A384:D384"/>
    <mergeCell ref="A409:D409"/>
    <mergeCell ref="A418:D418"/>
    <mergeCell ref="A365:D365"/>
    <mergeCell ref="A375:D375"/>
    <mergeCell ref="A385:D385"/>
    <mergeCell ref="A395:D395"/>
    <mergeCell ref="A410:D410"/>
    <mergeCell ref="A428:D428"/>
    <mergeCell ref="A438:D438"/>
    <mergeCell ref="A9:D9"/>
    <mergeCell ref="A18:D18"/>
    <mergeCell ref="A28:D28"/>
    <mergeCell ref="A37:D37"/>
    <mergeCell ref="A46:D46"/>
    <mergeCell ref="A55:D55"/>
    <mergeCell ref="A64:D64"/>
    <mergeCell ref="A73:D73"/>
    <mergeCell ref="A82:D82"/>
    <mergeCell ref="A91:D91"/>
    <mergeCell ref="A100:D100"/>
    <mergeCell ref="A109:D109"/>
    <mergeCell ref="A190:D190"/>
    <mergeCell ref="A345:D345"/>
    <mergeCell ref="A199:D199"/>
    <mergeCell ref="A208:D208"/>
    <mergeCell ref="A217:D217"/>
    <mergeCell ref="A226:D226"/>
    <mergeCell ref="A191:D191"/>
    <mergeCell ref="A200:D200"/>
    <mergeCell ref="A209:D209"/>
    <mergeCell ref="A218:D218"/>
    <mergeCell ref="A334:D334"/>
    <mergeCell ref="A317:D317"/>
    <mergeCell ref="A326:D326"/>
    <mergeCell ref="A299:D299"/>
    <mergeCell ref="A308:D308"/>
  </mergeCells>
  <pageMargins left="0.70866141732283472" right="0.70866141732283472" top="0.74803149606299213" bottom="0.74803149606299213" header="0.31496062992125984" footer="0.31496062992125984"/>
  <pageSetup paperSize="9" orientation="portrait" r:id="rId1"/>
  <rowBreaks count="9" manualBreakCount="9">
    <brk id="45" max="16383" man="1"/>
    <brk id="81" max="16383" man="1"/>
    <brk id="117" max="16383" man="1"/>
    <brk id="153" max="16383" man="1"/>
    <brk id="189" max="16383" man="1"/>
    <brk id="270" max="16383" man="1"/>
    <brk id="306" max="16383" man="1"/>
    <brk id="343" max="16383" man="1"/>
    <brk id="383" max="16383" man="1"/>
  </rowBreaks>
</worksheet>
</file>

<file path=xl/worksheets/sheet5.xml><?xml version="1.0" encoding="utf-8"?>
<worksheet xmlns="http://schemas.openxmlformats.org/spreadsheetml/2006/main" xmlns:r="http://schemas.openxmlformats.org/officeDocument/2006/relationships">
  <dimension ref="A1:E127"/>
  <sheetViews>
    <sheetView topLeftCell="A103" zoomScaleNormal="100" workbookViewId="0">
      <selection activeCell="H123" sqref="H123"/>
    </sheetView>
  </sheetViews>
  <sheetFormatPr defaultRowHeight="15"/>
  <cols>
    <col min="1" max="1" width="25.7109375" style="1" customWidth="1"/>
    <col min="2" max="4" width="15.7109375" style="9" customWidth="1"/>
    <col min="5" max="5" width="18.7109375" style="1"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71" t="str">
        <f>'Survey Tool'!B5:C5</f>
        <v>Quarter 2 2018</v>
      </c>
      <c r="C5" s="71"/>
      <c r="D5" s="72"/>
    </row>
    <row r="6" spans="1:4">
      <c r="A6" s="4" t="str">
        <f>'Survey Tool'!A6</f>
        <v>No in Survey</v>
      </c>
      <c r="B6" s="66">
        <f>'Survey Tool'!B6:C6</f>
        <v>6</v>
      </c>
      <c r="C6" s="66"/>
      <c r="D6" s="62"/>
    </row>
    <row r="7" spans="1:4">
      <c r="A7" s="4" t="str">
        <f>'Survey Tool'!A7</f>
        <v>No of Residents</v>
      </c>
      <c r="B7" s="66">
        <f>'Survey Tool'!B7:C7</f>
        <v>8</v>
      </c>
      <c r="C7" s="66"/>
      <c r="D7" s="62"/>
    </row>
    <row r="8" spans="1:4">
      <c r="A8" s="23"/>
      <c r="B8" s="25"/>
      <c r="C8" s="25"/>
      <c r="D8" s="26"/>
    </row>
    <row r="9" spans="1:4">
      <c r="A9" s="23"/>
      <c r="B9" s="25"/>
      <c r="C9" s="25"/>
      <c r="D9" s="26"/>
    </row>
    <row r="10" spans="1:4">
      <c r="A10" s="74" t="s">
        <v>194</v>
      </c>
      <c r="B10" s="75"/>
      <c r="C10" s="75"/>
      <c r="D10" s="75"/>
    </row>
    <row r="11" spans="1:4">
      <c r="A11" s="4"/>
      <c r="B11" s="27" t="s">
        <v>159</v>
      </c>
      <c r="C11" s="27" t="s">
        <v>163</v>
      </c>
      <c r="D11" s="27" t="s">
        <v>225</v>
      </c>
    </row>
    <row r="12" spans="1:4" ht="30">
      <c r="A12" s="31" t="s">
        <v>114</v>
      </c>
      <c r="B12" s="30">
        <f>COUNTIF(Table2[How comfortable is your centre? ],$B$11)/(No_in_Audit-COUNTIF(Table2[How comfortable is your centre? ],"Not answered"))*100</f>
        <v>0</v>
      </c>
      <c r="C12" s="30">
        <f>COUNTIF(Table2[How comfortable is your centre? ],$C$11)/(No_in_Audit-COUNTIF(Table2[How comfortable is your centre? ],"Not answered"))*100</f>
        <v>0</v>
      </c>
      <c r="D12" s="30">
        <f>COUNTIF(Table2[How comfortable is your centre? ],$D$11)/(No_in_Audit-COUNTIF(Table2[How comfortable is your centre? ],"Not answered"))*100</f>
        <v>0</v>
      </c>
    </row>
    <row r="13" spans="1:4">
      <c r="A13" s="31" t="s">
        <v>115</v>
      </c>
      <c r="B13" s="30">
        <f>COUNTIF(Table2[How warm is your centre? ],$B$11)/(No_in_Audit-COUNTIF(Table2[How warm is your centre? ],"Not answered"))*100</f>
        <v>0</v>
      </c>
      <c r="C13" s="30">
        <f>COUNTIF(Table2[How warm is your centre? ],$C$11)/(No_in_Audit-COUNTIF(Table2[How warm is your centre? ],"Not answered"))*100</f>
        <v>0</v>
      </c>
      <c r="D13" s="30">
        <f>COUNTIF(Table2[How warm is your centre? ],$D$11)/(No_in_Audit-COUNTIF(Table2[How warm is your centre? ],"Not answered"))*100</f>
        <v>0</v>
      </c>
    </row>
    <row r="14" spans="1:4" ht="60">
      <c r="A14" s="31" t="s">
        <v>116</v>
      </c>
      <c r="B14" s="30">
        <f>COUNTIF(Table2[Your access to shared areas where you can spend time with other residents or visitors?],$B$11)/(No_in_Audit-COUNTIF(Table2[Your access to shared areas where you can spend time with other residents or visitors?],"Not answered"))*100</f>
        <v>0</v>
      </c>
      <c r="C14" s="30">
        <f>COUNTIF(Table2[Your access to shared areas where you can spend time with other residents or visitors?],$C$11)/(No_in_Audit-COUNTIF(Table2[Your access to shared areas where you can spend time with other residents or visitors?],"Not answered"))*100</f>
        <v>0</v>
      </c>
      <c r="D14" s="30">
        <f>COUNTIF(Table2[Your access to shared areas where you can spend time with other residents or visitors?],$D$11)/(No_in_Audit-COUNTIF(Table2[Your access to shared areas where you can spend time with other residents or visitors?],"Not answered"))*100</f>
        <v>0</v>
      </c>
    </row>
    <row r="15" spans="1:4" ht="30">
      <c r="A15" s="31" t="s">
        <v>117</v>
      </c>
      <c r="B15" s="30">
        <f>COUNTIF(Table2[Your access to a garden or outdoor area?],$B$11)/(No_in_Audit-COUNTIF(Table2[Your access to a garden or outdoor area?],"Not answered"))*100</f>
        <v>0</v>
      </c>
      <c r="C15" s="30">
        <f>COUNTIF(Table2[Your access to a garden or outdoor area?],$C$11)/(No_in_Audit-COUNTIF(Table2[Your access to a garden or outdoor area?],"Not answered"))*100</f>
        <v>0</v>
      </c>
      <c r="D15" s="30">
        <f>COUNTIF(Table2[Your access to a garden or outdoor area?],$D$11)/(No_in_Audit-COUNTIF(Table2[Your access to a garden or outdoor area?],"Not answered"))*100</f>
        <v>0</v>
      </c>
    </row>
    <row r="16" spans="1:4">
      <c r="A16" s="23"/>
      <c r="B16" s="25"/>
      <c r="C16" s="25"/>
      <c r="D16" s="26"/>
    </row>
    <row r="17" spans="1:4">
      <c r="A17" s="23"/>
      <c r="B17" s="25"/>
      <c r="C17" s="25"/>
      <c r="D17" s="26"/>
    </row>
    <row r="18" spans="1:4">
      <c r="A18" s="74" t="s">
        <v>195</v>
      </c>
      <c r="B18" s="75"/>
      <c r="C18" s="75"/>
      <c r="D18" s="75"/>
    </row>
    <row r="19" spans="1:4">
      <c r="A19" s="4"/>
      <c r="B19" s="27" t="s">
        <v>159</v>
      </c>
      <c r="C19" s="27" t="s">
        <v>163</v>
      </c>
      <c r="D19" s="27" t="s">
        <v>225</v>
      </c>
    </row>
    <row r="20" spans="1:4">
      <c r="A20" s="29" t="s">
        <v>118</v>
      </c>
      <c r="B20" s="30">
        <f>COUNTIF(Table2[Your bedroom?],$B$19)/(No_in_Audit-COUNTIF(Table2[Your bedroom?],"Not answered"))*100</f>
        <v>0</v>
      </c>
      <c r="C20" s="30">
        <f>COUNTIF(Table2[Your bedroom?],$C$19)/(No_in_Audit-COUNTIF(Table2[Your bedroom?],"Not answered"))*100</f>
        <v>0</v>
      </c>
      <c r="D20" s="30">
        <f>COUNTIF(Table2[Your bedroom?],$D$19)/(No_in_Audit-COUNTIF(Table2[Your bedroom?],"Not answered"))*100</f>
        <v>0</v>
      </c>
    </row>
    <row r="21" spans="1:4" ht="30">
      <c r="A21" s="29" t="s">
        <v>119</v>
      </c>
      <c r="B21" s="30">
        <f>COUNTIF(Table2[The amount of space you have for your belongings?],$B$19)/(No_in_Audit-COUNTIF(Table2[The amount of space you have for your belongings?],"Not answered"))*100</f>
        <v>0</v>
      </c>
      <c r="C21" s="30">
        <f>COUNTIF(Table2[The amount of space you have for your belongings?],$C$19)/(No_in_Audit-COUNTIF(Table2[The amount of space you have for your belongings?],"Not answered"))*100</f>
        <v>0</v>
      </c>
      <c r="D21" s="30">
        <f>COUNTIF(Table2[The amount of space you have for your belongings?],$D$19)/(No_in_Audit-COUNTIF(Table2[The amount of space you have for your belongings?],"Not answered"))*100</f>
        <v>0</v>
      </c>
    </row>
    <row r="22" spans="1:4" ht="30">
      <c r="A22" s="29" t="s">
        <v>120</v>
      </c>
      <c r="B22" s="30">
        <f>COUNTIF(Table2[The security of your belongings?],$B$19)/(No_in_Audit-COUNTIF(Table2[The security of your belongings?],"Not answered"))*100</f>
        <v>0</v>
      </c>
      <c r="C22" s="30">
        <f>COUNTIF(Table2[The security of your belongings?],$C$19)/(No_in_Audit-COUNTIF(Table2[The security of your belongings?],"Not answered"))*100</f>
        <v>0</v>
      </c>
      <c r="D22" s="30">
        <f>COUNTIF(Table2[The security of your belongings?],$D$19)/(No_in_Audit-COUNTIF(Table2[The security of your belongings?],"Not answered"))*100</f>
        <v>0</v>
      </c>
    </row>
    <row r="23" spans="1:4">
      <c r="A23" s="29" t="s">
        <v>121</v>
      </c>
      <c r="B23" s="30">
        <f>COUNTIF(Table2[Your laundry facilities?],$B$19)/(No_in_Audit-COUNTIF(Table2[Your laundry facilities?],"Not answered"))*100</f>
        <v>0</v>
      </c>
      <c r="C23" s="30">
        <f>COUNTIF(Table2[Your laundry facilities?],$C$19)/(No_in_Audit-COUNTIF(Table2[Your laundry facilities?],"Not answered"))*100</f>
        <v>0</v>
      </c>
      <c r="D23" s="30">
        <f>COUNTIF(Table2[Your laundry facilities?],$D$19)/(No_in_Audit-COUNTIF(Table2[Your laundry facilities?],"Not answered"))*100</f>
        <v>0</v>
      </c>
    </row>
    <row r="24" spans="1:4">
      <c r="A24" s="23"/>
      <c r="B24" s="25"/>
      <c r="C24" s="25"/>
      <c r="D24" s="25"/>
    </row>
    <row r="25" spans="1:4">
      <c r="A25" s="23"/>
      <c r="B25" s="25"/>
      <c r="C25" s="25"/>
      <c r="D25" s="25"/>
    </row>
    <row r="26" spans="1:4">
      <c r="A26" s="73" t="s">
        <v>196</v>
      </c>
      <c r="B26" s="70"/>
      <c r="C26" s="70"/>
      <c r="D26" s="70"/>
    </row>
    <row r="27" spans="1:4">
      <c r="A27" s="4"/>
      <c r="B27" s="27" t="s">
        <v>159</v>
      </c>
      <c r="C27" s="27" t="s">
        <v>163</v>
      </c>
      <c r="D27" s="27" t="s">
        <v>225</v>
      </c>
    </row>
    <row r="28" spans="1:4">
      <c r="A28" s="29" t="s">
        <v>122</v>
      </c>
      <c r="B28" s="30">
        <f>COUNTIF(Table2[Taste of the food?],$B$27)/(No_in_Audit-COUNTIF(Table2[Taste of the food?],"Not answered"))*100</f>
        <v>0</v>
      </c>
      <c r="C28" s="30">
        <f>COUNTIF(Table2[Taste of the food?],$C$27)/(No_in_Audit-COUNTIF(Table2[Taste of the food?],"Not answered"))*100</f>
        <v>0</v>
      </c>
      <c r="D28" s="30">
        <f>COUNTIF(Table2[Taste of the food?],$D$27)/(No_in_Audit-COUNTIF(Table2[Taste of the food?],"Not answered"))*100</f>
        <v>0</v>
      </c>
    </row>
    <row r="29" spans="1:4">
      <c r="A29" s="29" t="s">
        <v>123</v>
      </c>
      <c r="B29" s="30">
        <f>COUNTIF(Table2[Choice of food?],$B$27)/(No_in_Audit-COUNTIF(Table2[Choice of food?],"Not answered"))*100</f>
        <v>0</v>
      </c>
      <c r="C29" s="30">
        <f>COUNTIF(Table2[Choice of food?],$C$27)/(No_in_Audit-COUNTIF(Table2[Choice of food?],"Not answered"))*100</f>
        <v>0</v>
      </c>
      <c r="D29" s="30">
        <f>COUNTIF(Table2[Choice of food?],$D$27)/(No_in_Audit-COUNTIF(Table2[Choice of food?],"Not answered"))*100</f>
        <v>0</v>
      </c>
    </row>
    <row r="30" spans="1:4">
      <c r="A30" s="29" t="s">
        <v>124</v>
      </c>
      <c r="B30" s="30">
        <f>COUNTIF(Table2[Amount of food?],$B$27)/(No_in_Audit-COUNTIF(Table2[Amount of food?],"Not answered"))*100</f>
        <v>0</v>
      </c>
      <c r="C30" s="30">
        <f>COUNTIF(Table2[Amount of food?],$C$27)/(No_in_Audit-COUNTIF(Table2[Amount of food?],"Not answered"))*100</f>
        <v>0</v>
      </c>
      <c r="D30" s="30">
        <f>COUNTIF(Table2[Amount of food?],$D$27)/(No_in_Audit-COUNTIF(Table2[Amount of food?],"Not answered"))*100</f>
        <v>0</v>
      </c>
    </row>
    <row r="31" spans="1:4">
      <c r="A31" s="29" t="s">
        <v>125</v>
      </c>
      <c r="B31" s="30">
        <f>COUNTIF(Table2[Temperature of the food?],$B$27)/(No_in_Audit-COUNTIF(Table2[Temperature of the food?],"Not answered"))*100</f>
        <v>0</v>
      </c>
      <c r="C31" s="30">
        <f>COUNTIF(Table2[Temperature of the food?],$C$27)/(No_in_Audit-COUNTIF(Table2[Temperature of the food?],"Not answered"))*100</f>
        <v>0</v>
      </c>
      <c r="D31" s="30">
        <f>COUNTIF(Table2[Temperature of the food?],$D$27)/(No_in_Audit-COUNTIF(Table2[Temperature of the food?],"Not answered"))*100</f>
        <v>0</v>
      </c>
    </row>
    <row r="32" spans="1:4" ht="30">
      <c r="A32" s="29" t="s">
        <v>126</v>
      </c>
      <c r="B32" s="30">
        <f>COUNTIF(Table2[Times the meals are served?],$B$27)/(No_in_Audit-COUNTIF(Table2[Times the meals are served?],"Not answered"))*100</f>
        <v>0</v>
      </c>
      <c r="C32" s="30">
        <f>COUNTIF(Table2[Times the meals are served?],$C$27)/(No_in_Audit-COUNTIF(Table2[Times the meals are served?],"Not answered"))*100</f>
        <v>0</v>
      </c>
      <c r="D32" s="30">
        <f>COUNTIF(Table2[Times the meals are served?],$D$27)/(No_in_Audit-COUNTIF(Table2[Times the meals are served?],"Not answered"))*100</f>
        <v>0</v>
      </c>
    </row>
    <row r="33" spans="1:4" ht="30">
      <c r="A33" s="29" t="s">
        <v>127</v>
      </c>
      <c r="B33" s="30">
        <f>COUNTIF(Table2[Amount of time you get to eat your meal?],$B$27)/(No_in_Audit-COUNTIF(Table2[Amount of time you get to eat your meal?],"Not answered"))*100</f>
        <v>0</v>
      </c>
      <c r="C33" s="30">
        <f>COUNTIF(Table2[Amount of time you get to eat your meal?],$C$27)/(No_in_Audit-COUNTIF(Table2[Amount of time you get to eat your meal?],"Not answered"))*100</f>
        <v>0</v>
      </c>
      <c r="D33" s="30">
        <f>COUNTIF(Table2[Amount of time you get to eat your meal?],$D$27)/(No_in_Audit-COUNTIF(Table2[Amount of time you get to eat your meal?],"Not answered"))*100</f>
        <v>0</v>
      </c>
    </row>
    <row r="34" spans="1:4" ht="30">
      <c r="A34" s="29" t="s">
        <v>128</v>
      </c>
      <c r="B34" s="30">
        <f>COUNTIF(Table2[Access to drinks and snacks outside of mealtimes?],$B$27)/(No_in_Audit-COUNTIF(Table2[Access to drinks and snacks outside of mealtimes?],"Not answered"))*100</f>
        <v>0</v>
      </c>
      <c r="C34" s="30">
        <f>COUNTIF(Table2[Access to drinks and snacks outside of mealtimes?],$C$27)/(No_in_Audit-COUNTIF(Table2[Access to drinks and snacks outside of mealtimes?],"Not answered"))*100</f>
        <v>0</v>
      </c>
      <c r="D34" s="30">
        <f>COUNTIF(Table2[Access to drinks and snacks outside of mealtimes?],$D$27)/(No_in_Audit-COUNTIF(Table2[Access to drinks and snacks outside of mealtimes?],"Not answered"))*100</f>
        <v>0</v>
      </c>
    </row>
    <row r="35" spans="1:4" ht="30">
      <c r="A35" s="29" t="s">
        <v>129</v>
      </c>
      <c r="B35" s="30">
        <f>COUNTIF(Table2[Arrangements for grocery shopping?],$B$27)/(No_in_Audit-COUNTIF(Table2[Arrangements for grocery shopping?],"Not answered"))*100</f>
        <v>0</v>
      </c>
      <c r="C35" s="30">
        <f>COUNTIF(Table2[Arrangements for grocery shopping?],$C$27)/(No_in_Audit-COUNTIF(Table2[Arrangements for grocery shopping?],"Not answered"))*100</f>
        <v>0</v>
      </c>
      <c r="D35" s="30">
        <f>COUNTIF(Table2[Arrangements for grocery shopping?],$D$27)/(No_in_Audit-COUNTIF(Table2[Arrangements for grocery shopping?],"Not answered"))*100</f>
        <v>0</v>
      </c>
    </row>
    <row r="36" spans="1:4" ht="30">
      <c r="A36" s="29" t="s">
        <v>130</v>
      </c>
      <c r="B36" s="30">
        <f>COUNTIF(Table2[Cooking and dining facilities available?],$B$27)/(No_in_Audit-COUNTIF(Table2[Cooking and dining facilities available?],"Not answered"))*100</f>
        <v>0</v>
      </c>
      <c r="C36" s="30">
        <f>COUNTIF(Table2[Cooking and dining facilities available?],$C$27)/(No_in_Audit-COUNTIF(Table2[Cooking and dining facilities available?],"Not answered"))*100</f>
        <v>0</v>
      </c>
      <c r="D36" s="30">
        <f>COUNTIF(Table2[Cooking and dining facilities available?],$D$27)/(No_in_Audit-COUNTIF(Table2[Cooking and dining facilities available?],"Not answered"))*100</f>
        <v>0</v>
      </c>
    </row>
    <row r="37" spans="1:4">
      <c r="A37" s="23"/>
      <c r="B37" s="25"/>
      <c r="C37" s="25"/>
      <c r="D37" s="25"/>
    </row>
    <row r="38" spans="1:4">
      <c r="A38" s="23"/>
      <c r="B38" s="25"/>
      <c r="C38" s="25"/>
      <c r="D38" s="25"/>
    </row>
    <row r="39" spans="1:4">
      <c r="A39" s="73" t="s">
        <v>197</v>
      </c>
      <c r="B39" s="70"/>
      <c r="C39" s="70"/>
      <c r="D39" s="70"/>
    </row>
    <row r="40" spans="1:4">
      <c r="A40" s="4"/>
      <c r="B40" s="27" t="s">
        <v>159</v>
      </c>
      <c r="C40" s="27" t="s">
        <v>163</v>
      </c>
      <c r="D40" s="27" t="s">
        <v>225</v>
      </c>
    </row>
    <row r="41" spans="1:4" ht="30">
      <c r="A41" s="29" t="s">
        <v>131</v>
      </c>
      <c r="B41" s="30">
        <f>COUNTIF(Table2[The arrangements for visitors?],$B$40)/(No_in_Audit-COUNTIF(Table2[The arrangements for visitors?],"Not answered"))*100</f>
        <v>0</v>
      </c>
      <c r="C41" s="30">
        <f>COUNTIF(Table2[The arrangements for visitors?],$C$40)/(No_in_Audit-COUNTIF(Table2[The arrangements for visitors?],"Not answered"))*100</f>
        <v>0</v>
      </c>
      <c r="D41" s="30">
        <f>COUNTIF(Table2[The arrangements for visitors?],$D$40)/(No_in_Audit-COUNTIF(Table2[The arrangements for visitors?],"Not answered"))*100</f>
        <v>0</v>
      </c>
    </row>
    <row r="42" spans="1:4" ht="30">
      <c r="A42" s="29" t="s">
        <v>132</v>
      </c>
      <c r="B42" s="30">
        <f>COUNTIF(Table2[The welcome your visitors get from staff?],$B$40)/(No_in_Audit-COUNTIF(Table2[The welcome your visitors get from staff?],"Not answered"))*100</f>
        <v>0</v>
      </c>
      <c r="C42" s="30">
        <f>COUNTIF(Table2[The welcome your visitors get from staff?],$C$40)/(No_in_Audit-COUNTIF(Table2[The welcome your visitors get from staff?],"Not answered"))*100</f>
        <v>0</v>
      </c>
      <c r="D42" s="30">
        <f>COUNTIF(Table2[The welcome your visitors get from staff?],$D$40)/(No_in_Audit-COUNTIF(Table2[The welcome your visitors get from staff?],"Not answered"))*100</f>
        <v>0</v>
      </c>
    </row>
    <row r="43" spans="1:4">
      <c r="A43" s="23"/>
      <c r="B43" s="25"/>
      <c r="C43" s="25"/>
      <c r="D43" s="25"/>
    </row>
    <row r="44" spans="1:4">
      <c r="A44" s="23"/>
      <c r="B44" s="25"/>
      <c r="C44" s="25"/>
      <c r="D44" s="25"/>
    </row>
    <row r="45" spans="1:4">
      <c r="A45" s="73" t="s">
        <v>198</v>
      </c>
      <c r="B45" s="70"/>
      <c r="C45" s="70"/>
      <c r="D45" s="70"/>
    </row>
    <row r="46" spans="1:4">
      <c r="A46" s="4"/>
      <c r="B46" s="27" t="s">
        <v>159</v>
      </c>
      <c r="C46" s="27" t="s">
        <v>163</v>
      </c>
      <c r="D46" s="27" t="s">
        <v>225</v>
      </c>
    </row>
    <row r="47" spans="1:4">
      <c r="A47" s="29" t="s">
        <v>133</v>
      </c>
      <c r="B47" s="30">
        <f>COUNTIF(Table2[What time to get up?],$B$46)/(No_in_Audit-COUNTIF(Table2[What time to get up?],"Not answered"))*100</f>
        <v>0</v>
      </c>
      <c r="C47" s="30">
        <f>COUNTIF(Table2[What time to get up?],$C$46)/(No_in_Audit-COUNTIF(Table2[What time to get up?],"Not answered"))*100</f>
        <v>0</v>
      </c>
      <c r="D47" s="30">
        <f>COUNTIF(Table2[What time to get up?],$D$46)/(No_in_Audit-COUNTIF(Table2[What time to get up?],"Not answered"))*100</f>
        <v>0</v>
      </c>
    </row>
    <row r="48" spans="1:4">
      <c r="A48" s="29" t="s">
        <v>134</v>
      </c>
      <c r="B48" s="30">
        <f>COUNTIF(Table2[When you go to bed?],$B$46)/(No_in_Audit-COUNTIF(Table2[When you go to bed?],"Not answered"))*100</f>
        <v>0</v>
      </c>
      <c r="C48" s="30">
        <f>COUNTIF(Table2[When you go to bed?],$C$46)/(No_in_Audit-COUNTIF(Table2[When you go to bed?],"Not answered"))*100</f>
        <v>0</v>
      </c>
      <c r="D48" s="30">
        <f>COUNTIF(Table2[When you go to bed?],$D$46)/(No_in_Audit-COUNTIF(Table2[When you go to bed?],"Not answered"))*100</f>
        <v>0</v>
      </c>
    </row>
    <row r="49" spans="1:4">
      <c r="A49" s="29" t="s">
        <v>135</v>
      </c>
      <c r="B49" s="30">
        <f>COUNTIF(Table2[What you eat?],$B$46)/(No_in_Audit-COUNTIF(Table2[What you eat?],"Not answered"))*100</f>
        <v>0</v>
      </c>
      <c r="C49" s="30">
        <f>COUNTIF(Table2[What you eat?],$C$46)/(No_in_Audit-COUNTIF(Table2[What you eat?],"Not answered"))*100</f>
        <v>0</v>
      </c>
      <c r="D49" s="30">
        <f>COUNTIF(Table2[What you eat?],$D$46)/(No_in_Audit-COUNTIF(Table2[What you eat?],"Not answered"))*100</f>
        <v>0</v>
      </c>
    </row>
    <row r="50" spans="1:4">
      <c r="A50" s="29" t="s">
        <v>136</v>
      </c>
      <c r="B50" s="30">
        <f>COUNTIF(Table2[What you wear?],$B$46)/(No_in_Audit-COUNTIF(Table2[What you wear?],"Not answered"))*100</f>
        <v>0</v>
      </c>
      <c r="C50" s="30">
        <f>COUNTIF(Table2[What you wear?],$C$46)/(No_in_Audit-COUNTIF(Table2[What you wear?],"Not answered"))*100</f>
        <v>0</v>
      </c>
      <c r="D50" s="30">
        <f>COUNTIF(Table2[What you wear?],$D$46)/(No_in_Audit-COUNTIF(Table2[What you wear?],"Not answered"))*100</f>
        <v>0</v>
      </c>
    </row>
    <row r="51" spans="1:4" ht="30">
      <c r="A51" s="29" t="s">
        <v>137</v>
      </c>
      <c r="B51" s="30">
        <f>COUNTIF(Table2[The activities you take part in?],$B$46)/(No_in_Audit-COUNTIF(Table2[The activities you take part in?],"Not answered"))*100</f>
        <v>0</v>
      </c>
      <c r="C51" s="30">
        <f>COUNTIF(Table2[The activities you take part in?],$C$46)/(No_in_Audit-COUNTIF(Table2[The activities you take part in?],"Not answered"))*100</f>
        <v>0</v>
      </c>
      <c r="D51" s="30">
        <f>COUNTIF(Table2[The activities you take part in?],$D$46)/(No_in_Audit-COUNTIF(Table2[The activities you take part in?],"Not answered"))*100</f>
        <v>0</v>
      </c>
    </row>
    <row r="52" spans="1:4" ht="30">
      <c r="A52" s="29" t="s">
        <v>138</v>
      </c>
      <c r="B52" s="30">
        <f>COUNTIF(Table2[The care and support you receive?],$B$46)/(No_in_Audit-COUNTIF(Table2[The care and support you receive?],"Not answered"))*100</f>
        <v>0</v>
      </c>
      <c r="C52" s="30">
        <f>COUNTIF(Table2[The care and support you receive?],$C$46)/(No_in_Audit-COUNTIF(Table2[The care and support you receive?],"Not answered"))*100</f>
        <v>0</v>
      </c>
      <c r="D52" s="30">
        <f>COUNTIF(Table2[The care and support you receive?],$D$46)/(No_in_Audit-COUNTIF(Table2[The care and support you receive?],"Not answered"))*100</f>
        <v>0</v>
      </c>
    </row>
    <row r="53" spans="1:4" ht="30">
      <c r="A53" s="29" t="s">
        <v>139</v>
      </c>
      <c r="B53" s="30">
        <f>COUNTIF(Table2[The amount of privacy you have?],$B$46)/(No_in_Audit-COUNTIF(Table2[The amount of privacy you have?],"Not answered"))*100</f>
        <v>0</v>
      </c>
      <c r="C53" s="30">
        <f>COUNTIF(Table2[The amount of privacy you have?],$C$46)/(No_in_Audit-COUNTIF(Table2[The amount of privacy you have?],"Not answered"))*100</f>
        <v>0</v>
      </c>
      <c r="D53" s="30">
        <f>COUNTIF(Table2[The amount of privacy you have?],$D$46)/(No_in_Audit-COUNTIF(Table2[The amount of privacy you have?],"Not answered"))*100</f>
        <v>0</v>
      </c>
    </row>
    <row r="54" spans="1:4" ht="30">
      <c r="A54" s="29" t="s">
        <v>140</v>
      </c>
      <c r="B54" s="30">
        <f>COUNTIF(Table2[How your respect and dignity is protected?],$B$46)/(No_in_Audit-COUNTIF(Table2[How your respect and dignity is protected?],"Not answered"))*100</f>
        <v>0</v>
      </c>
      <c r="C54" s="30">
        <f>COUNTIF(Table2[How your respect and dignity is protected?],$C$46)/(No_in_Audit-COUNTIF(Table2[How your respect and dignity is protected?],"Not answered"))*100</f>
        <v>0</v>
      </c>
      <c r="D54" s="30">
        <f>COUNTIF(Table2[How your respect and dignity is protected?],$D$46)/(No_in_Audit-COUNTIF(Table2[How your respect and dignity is protected?],"Not answered"))*100</f>
        <v>0</v>
      </c>
    </row>
    <row r="55" spans="1:4">
      <c r="A55" s="29" t="s">
        <v>141</v>
      </c>
      <c r="B55" s="30">
        <f>COUNTIF(Table2[How safe you feel?],$B$46)/(No_in_Audit-COUNTIF(Table2[How safe you feel?],"Not answered"))*100</f>
        <v>0</v>
      </c>
      <c r="C55" s="30">
        <f>COUNTIF(Table2[How safe you feel?],$C$46)/(No_in_Audit-COUNTIF(Table2[How safe you feel?],"Not answered"))*100</f>
        <v>0</v>
      </c>
      <c r="D55" s="30">
        <f>COUNTIF(Table2[How safe you feel?],$D$46)/(No_in_Audit-COUNTIF(Table2[How safe you feel?],"Not answered"))*100</f>
        <v>0</v>
      </c>
    </row>
    <row r="56" spans="1:4">
      <c r="A56" s="23"/>
      <c r="B56" s="25"/>
      <c r="C56" s="25"/>
      <c r="D56" s="25"/>
    </row>
    <row r="57" spans="1:4">
      <c r="A57" s="23"/>
      <c r="B57" s="25"/>
      <c r="C57" s="25"/>
      <c r="D57" s="25"/>
    </row>
    <row r="58" spans="1:4">
      <c r="A58" s="73" t="s">
        <v>199</v>
      </c>
      <c r="B58" s="70"/>
      <c r="C58" s="70"/>
      <c r="D58" s="70"/>
    </row>
    <row r="59" spans="1:4">
      <c r="A59" s="4"/>
      <c r="B59" s="27" t="s">
        <v>159</v>
      </c>
      <c r="C59" s="27" t="s">
        <v>163</v>
      </c>
      <c r="D59" s="27" t="s">
        <v>225</v>
      </c>
    </row>
    <row r="60" spans="1:4" ht="30">
      <c r="A60" s="29" t="s">
        <v>142</v>
      </c>
      <c r="B60" s="30">
        <f>COUNTIF(Table2[Your relationships with other residents?],$B$59)/(No_in_Audit-COUNTIF(Table2[Your relationships with other residents?],"Not answered"))*100</f>
        <v>0</v>
      </c>
      <c r="C60" s="30">
        <f>COUNTIF(Table2[Your relationships with other residents?],$C$59)/(No_in_Audit-COUNTIF(Table2[Your relationships with other residents?],"Not answered"))*100</f>
        <v>0</v>
      </c>
      <c r="D60" s="30">
        <f>COUNTIF(Table2[Your relationships with other residents?],$D$59)/(No_in_Audit-COUNTIF(Table2[Your relationships with other residents?],"Not answered"))*100</f>
        <v>0</v>
      </c>
    </row>
    <row r="61" spans="1:4" ht="45">
      <c r="A61" s="29" t="s">
        <v>143</v>
      </c>
      <c r="B61" s="30">
        <f>COUNTIF(Table2[Your involvement in deciding on the activities in your centre? ],$B$59)/(No_in_Audit-COUNTIF(Table2[Your involvement in deciding on the activities in your centre? ],"Not answered"))*100</f>
        <v>0</v>
      </c>
      <c r="C61" s="30">
        <f>COUNTIF(Table2[Your involvement in deciding on the activities in your centre? ],$C$59)/(No_in_Audit-COUNTIF(Table2[Your involvement in deciding on the activities in your centre? ],"Not answered"))*100</f>
        <v>0</v>
      </c>
      <c r="D61" s="30">
        <f>COUNTIF(Table2[Your involvement in deciding on the activities in your centre? ],$D$59)/(No_in_Audit-COUNTIF(Table2[Your involvement in deciding on the activities in your centre? ],"Not answered"))*100</f>
        <v>0</v>
      </c>
    </row>
    <row r="62" spans="1:4" ht="30">
      <c r="A62" s="29" t="s">
        <v>144</v>
      </c>
      <c r="B62" s="30">
        <f>COUNTIF(Table2[How often you go outside your centre? ],$B$59)/(No_in_Audit-COUNTIF(Table2[How often you go outside your centre? ],"Not answered"))*100</f>
        <v>0</v>
      </c>
      <c r="C62" s="30">
        <f>COUNTIF(Table2[How often you go outside your centre? ],$C$59)/(No_in_Audit-COUNTIF(Table2[How often you go outside your centre? ],"Not answered"))*100</f>
        <v>0</v>
      </c>
      <c r="D62" s="30">
        <f>COUNTIF(Table2[How often you go outside your centre? ],$D$59)/(No_in_Audit-COUNTIF(Table2[How often you go outside your centre? ],"Not answered"))*100</f>
        <v>0</v>
      </c>
    </row>
    <row r="63" spans="1:4" ht="45">
      <c r="A63" s="29" t="s">
        <v>145</v>
      </c>
      <c r="B63" s="30">
        <f>COUNTIF(Table2[Your participation in the wider community outside your centre? ],$B$59)/(No_in_Audit-COUNTIF(Table2[Your participation in the wider community outside your centre? ],"Not answered"))*100</f>
        <v>0</v>
      </c>
      <c r="C63" s="30">
        <f>COUNTIF(Table2[Your participation in the wider community outside your centre? ],$C$59)/(No_in_Audit-COUNTIF(Table2[Your participation in the wider community outside your centre? ],"Not answered"))*100</f>
        <v>0</v>
      </c>
      <c r="D63" s="30">
        <f>COUNTIF(Table2[Your participation in the wider community outside your centre? ],$D$59)/(No_in_Audit-COUNTIF(Table2[Your participation in the wider community outside your centre? ],"Not answered"))*100</f>
        <v>0</v>
      </c>
    </row>
    <row r="64" spans="1:4">
      <c r="A64" s="23"/>
      <c r="B64" s="25"/>
      <c r="C64" s="25"/>
      <c r="D64" s="25"/>
    </row>
    <row r="65" spans="1:5">
      <c r="A65" s="23"/>
      <c r="B65" s="25"/>
      <c r="C65" s="25"/>
      <c r="D65" s="25"/>
    </row>
    <row r="66" spans="1:5">
      <c r="A66" s="73" t="s">
        <v>229</v>
      </c>
      <c r="B66" s="70"/>
      <c r="C66" s="70"/>
      <c r="D66" s="70"/>
    </row>
    <row r="67" spans="1:5">
      <c r="A67" s="4"/>
      <c r="B67" s="27" t="s">
        <v>160</v>
      </c>
      <c r="C67" s="27" t="s">
        <v>164</v>
      </c>
      <c r="D67" s="27" t="s">
        <v>230</v>
      </c>
    </row>
    <row r="68" spans="1:5">
      <c r="A68" s="29" t="s">
        <v>236</v>
      </c>
      <c r="B68" s="30">
        <f>COUNTIF(Table2[Have you a Personal Plan?],$B$67)/(No_in_Audit-COUNTIF(Table2[Have you a Personal Plan?],"Not answered"))*100</f>
        <v>0</v>
      </c>
      <c r="C68" s="30">
        <f>COUNTIF(Table2[Have you a Personal Plan?],$C$67)/(No_in_Audit-COUNTIF(Table2[Have you a Personal Plan?],"Not answered"))*100</f>
        <v>0</v>
      </c>
      <c r="D68" s="30">
        <f>COUNTIF(Table2[Have you a Personal Plan?],$D$67)/(No_in_Audit-COUNTIF(Table2[Have you a Personal Plan?],"Not answered"))*100</f>
        <v>0</v>
      </c>
    </row>
    <row r="69" spans="1:5">
      <c r="A69" s="23"/>
      <c r="B69" s="25"/>
      <c r="C69" s="25"/>
      <c r="D69" s="25"/>
    </row>
    <row r="70" spans="1:5">
      <c r="A70" s="24"/>
      <c r="B70" s="25"/>
      <c r="C70" s="25"/>
      <c r="D70" s="25"/>
    </row>
    <row r="71" spans="1:5">
      <c r="A71" s="73" t="s">
        <v>201</v>
      </c>
      <c r="B71" s="70"/>
      <c r="C71" s="70"/>
      <c r="D71" s="70"/>
    </row>
    <row r="72" spans="1:5">
      <c r="A72" s="4"/>
      <c r="B72" s="27" t="s">
        <v>159</v>
      </c>
      <c r="C72" s="27" t="s">
        <v>163</v>
      </c>
      <c r="D72" s="27" t="s">
        <v>225</v>
      </c>
    </row>
    <row r="73" spans="1:5">
      <c r="A73" s="29" t="s">
        <v>146</v>
      </c>
      <c r="B73" s="32">
        <f>COUNTIF(Table2[Are easy to talk to?],$B$72)/(No_in_Audit-COUNTIF(Table2[Are easy to talk to?],"Not answered"))*100</f>
        <v>0</v>
      </c>
      <c r="C73" s="30">
        <f>COUNTIF(Table2[Are easy to talk to?],$C$72)/(No_in_Audit-COUNTIF(Table2[Are easy to talk to?],"Not answered"))*100</f>
        <v>0</v>
      </c>
      <c r="D73" s="30">
        <f>COUNTIF(Table2[Are easy to talk to?],$D$72)/(No_in_Audit-COUNTIF(Table2[Are easy to talk to?],"Not answered"))*100</f>
        <v>0</v>
      </c>
    </row>
    <row r="74" spans="1:5">
      <c r="A74" s="29" t="s">
        <v>147</v>
      </c>
      <c r="B74" s="32">
        <f>COUNTIF(Table2[Listen to you?],$B$72)/(No_in_Audit-COUNTIF(Table2[Listen to you?],"Not answered"))*100</f>
        <v>0</v>
      </c>
      <c r="C74" s="30">
        <f>COUNTIF(Table2[Listen to you?],$C$72)/(No_in_Audit-COUNTIF(Table2[Listen to you?],"Not answered"))*100</f>
        <v>0</v>
      </c>
      <c r="D74" s="30">
        <f>COUNTIF(Table2[Listen to you?],$D$72)/(No_in_Audit-COUNTIF(Table2[Listen to you?],"Not answered"))*100</f>
        <v>0</v>
      </c>
    </row>
    <row r="75" spans="1:5" ht="30">
      <c r="A75" s="29" t="s">
        <v>148</v>
      </c>
      <c r="B75" s="32">
        <f>COUNTIF(Table2[Know your likes and dislikes?],$B$72)/(No_in_Audit-COUNTIF(Table2[Know your likes and dislikes?],"Not answered"))*100</f>
        <v>0</v>
      </c>
      <c r="C75" s="30">
        <f>COUNTIF(Table2[Know your likes and dislikes?],$C$72)/(No_in_Audit-COUNTIF(Table2[Know your likes and dislikes?],"Not answered"))*100</f>
        <v>0</v>
      </c>
      <c r="D75" s="30">
        <f>COUNTIF(Table2[Know your likes and dislikes?],$D$72)/(No_in_Audit-COUNTIF(Table2[Know your likes and dislikes?],"Not answered"))*100</f>
        <v>0</v>
      </c>
    </row>
    <row r="76" spans="1:5">
      <c r="A76" s="33"/>
      <c r="B76" s="25"/>
      <c r="C76" s="25"/>
      <c r="D76" s="25"/>
    </row>
    <row r="77" spans="1:5">
      <c r="A77" s="24"/>
      <c r="B77" s="25"/>
      <c r="C77" s="25"/>
      <c r="D77" s="25"/>
    </row>
    <row r="78" spans="1:5">
      <c r="A78" s="73" t="s">
        <v>227</v>
      </c>
      <c r="B78" s="70"/>
      <c r="C78" s="70"/>
      <c r="D78" s="70"/>
    </row>
    <row r="79" spans="1:5" ht="27" customHeight="1">
      <c r="A79" s="4"/>
      <c r="B79" s="27" t="s">
        <v>159</v>
      </c>
      <c r="C79" s="27" t="s">
        <v>163</v>
      </c>
      <c r="D79" s="27" t="s">
        <v>225</v>
      </c>
      <c r="E79" s="34" t="s">
        <v>233</v>
      </c>
    </row>
    <row r="80" spans="1:5">
      <c r="A80" s="29" t="s">
        <v>149</v>
      </c>
      <c r="B80" s="30">
        <f>COUNTIF(Table2[Getting dressed?],$B$79)/(No_in_Audit-COUNTIF(Table2[Getting dressed?],"Not answered"))*100</f>
        <v>0</v>
      </c>
      <c r="C80" s="30">
        <f>COUNTIF(Table2[Getting dressed?],$C$79)/(No_in_Audit-COUNTIF(Table2[Getting dressed?],"Not answered"))*100</f>
        <v>0</v>
      </c>
      <c r="D80" s="30">
        <f>COUNTIF(Table2[Getting dressed?],$D$79)/(No_in_Audit-COUNTIF(Table2[Getting dressed?],"Not answered"))*100</f>
        <v>0</v>
      </c>
      <c r="E80" s="30">
        <f>COUNTIF(Table2[Getting dressed?],$E$79)/(No_in_Audit-COUNTIF(Table2[Getting dressed?],"Not answered"))*100</f>
        <v>0</v>
      </c>
    </row>
    <row r="81" spans="1:5">
      <c r="A81" s="29" t="s">
        <v>150</v>
      </c>
      <c r="B81" s="30">
        <f>COUNTIF(Table2[Washing?],$B$79)/(No_in_Audit-COUNTIF(Table2[Washing?],"Not answered"))*100</f>
        <v>0</v>
      </c>
      <c r="C81" s="30">
        <f>COUNTIF(Table2[Washing?],$C$79)/(No_in_Audit-COUNTIF(Table2[Washing?],"Not answered"))*100</f>
        <v>0</v>
      </c>
      <c r="D81" s="30">
        <f>COUNTIF(Table2[Washing?],$D$79)/(No_in_Audit-COUNTIF(Table2[Washing?],"Not answered"))*100</f>
        <v>0</v>
      </c>
      <c r="E81" s="30">
        <f>COUNTIF(Table2[Washing?],$E$79)/(No_in_Audit-COUNTIF(Table2[Washing?],"Not answered"))*100</f>
        <v>0</v>
      </c>
    </row>
    <row r="82" spans="1:5">
      <c r="A82" s="29" t="s">
        <v>151</v>
      </c>
      <c r="B82" s="30">
        <f>COUNTIF(Table2[Eating or drinking?],$B$79)/(No_in_Audit-COUNTIF(Table2[Eating or drinking?],"Not answered"))*100</f>
        <v>0</v>
      </c>
      <c r="C82" s="30">
        <f>COUNTIF(Table2[Eating or drinking?],$C$79)/(No_in_Audit-COUNTIF(Table2[Eating or drinking?],"Not answered"))*100</f>
        <v>0</v>
      </c>
      <c r="D82" s="30">
        <f>COUNTIF(Table2[Eating or drinking?],$D$79)/(No_in_Audit-COUNTIF(Table2[Eating or drinking?],"Not answered"))*100</f>
        <v>0</v>
      </c>
      <c r="E82" s="30">
        <f>COUNTIF(Table2[Eating or drinking?],$E$79)/(No_in_Audit-COUNTIF(Table2[Eating or drinking?],"Not answered"))*100</f>
        <v>0</v>
      </c>
    </row>
    <row r="83" spans="1:5">
      <c r="A83" s="29" t="s">
        <v>152</v>
      </c>
      <c r="B83" s="30">
        <f>COUNTIF(Table2[Moving about?],$B$79)/(No_in_Audit-COUNTIF(Table2[Moving about?],"Not answered"))*100</f>
        <v>0</v>
      </c>
      <c r="C83" s="30">
        <f>COUNTIF(Table2[Moving about?],$C$79)/(No_in_Audit-COUNTIF(Table2[Moving about?],"Not answered"))*100</f>
        <v>0</v>
      </c>
      <c r="D83" s="30">
        <f>COUNTIF(Table2[Moving about?],$D$79)/(No_in_Audit-COUNTIF(Table2[Moving about?],"Not answered"))*100</f>
        <v>0</v>
      </c>
      <c r="E83" s="30">
        <f>COUNTIF(Table2[Moving about?],$E$79)/(No_in_Audit-COUNTIF(Table2[Moving about?],"Not answered"))*100</f>
        <v>0</v>
      </c>
    </row>
    <row r="84" spans="1:5" ht="45">
      <c r="A84" s="29" t="s">
        <v>153</v>
      </c>
      <c r="B84" s="30">
        <f>COUNTIF(Table2[Taking part in social and recreational activities inside your centre? ],$B$79)/(No_in_Audit-COUNTIF(Table2[Taking part in social and recreational activities inside your centre? ],"Not answered"))*100</f>
        <v>0</v>
      </c>
      <c r="C84" s="30">
        <f>COUNTIF(Table2[Taking part in social and recreational activities inside your centre? ],$C$79)/(No_in_Audit-COUNTIF(Table2[Taking part in social and recreational activities inside your centre? ],"Not answered"))*100</f>
        <v>0</v>
      </c>
      <c r="D84" s="30">
        <f>COUNTIF(Table2[Taking part in social and recreational activities inside your centre? ],$D$79)/(No_in_Audit-COUNTIF(Table2[Taking part in social and recreational activities inside your centre? ],"Not answered"))*100</f>
        <v>0</v>
      </c>
      <c r="E84" s="30">
        <f>COUNTIF(Table2[Taking part in social and recreational activities inside your centre? ],$E$79)/(No_in_Audit-COUNTIF(Table2[Taking part in social and recreational activities inside your centre? ],"Not answered"))*100</f>
        <v>0</v>
      </c>
    </row>
    <row r="85" spans="1:5" ht="30">
      <c r="A85" s="29" t="s">
        <v>154</v>
      </c>
      <c r="B85" s="30">
        <f>COUNTIF(Table2[Taking part in activities outside your centre?  ],$B$79)/(No_in_Audit-COUNTIF(Table2[Taking part in activities outside your centre?  ],"Not answered"))*100</f>
        <v>0</v>
      </c>
      <c r="C85" s="30">
        <f>COUNTIF(Table2[Taking part in activities outside your centre?  ],$C$79)/(No_in_Audit-COUNTIF(Table2[Taking part in activities outside your centre?  ],"Not answered"))*100</f>
        <v>0</v>
      </c>
      <c r="D85" s="30">
        <f>COUNTIF(Table2[Taking part in activities outside your centre?  ],$D$79)/(No_in_Audit-COUNTIF(Table2[Taking part in activities outside your centre?  ],"Not answered"))*100</f>
        <v>0</v>
      </c>
      <c r="E85" s="30">
        <f>COUNTIF(Table2[Taking part in activities outside your centre?  ],$E$79)/(No_in_Audit-COUNTIF(Table2[Taking part in activities outside your centre?  ],"Not answered"))*100</f>
        <v>0</v>
      </c>
    </row>
    <row r="86" spans="1:5">
      <c r="A86" s="23"/>
      <c r="B86" s="25"/>
      <c r="C86" s="25"/>
      <c r="D86" s="25"/>
    </row>
    <row r="87" spans="1:5">
      <c r="A87" s="24"/>
      <c r="B87" s="25"/>
      <c r="C87" s="25"/>
      <c r="D87" s="25"/>
    </row>
    <row r="88" spans="1:5">
      <c r="A88" s="2"/>
      <c r="B88" s="11"/>
      <c r="C88" s="11"/>
      <c r="D88" s="11"/>
    </row>
    <row r="89" spans="1:5">
      <c r="A89" s="58" t="str">
        <f>'Validation List'!AR3</f>
        <v>Who would you speak with if you were unhappy with something in your Centre</v>
      </c>
      <c r="B89" s="59"/>
      <c r="C89" s="59"/>
      <c r="D89" s="60"/>
    </row>
    <row r="90" spans="1:5">
      <c r="A90" s="20"/>
      <c r="B90" s="10" t="s">
        <v>37</v>
      </c>
      <c r="C90" s="10" t="s">
        <v>38</v>
      </c>
      <c r="D90" s="10" t="s">
        <v>40</v>
      </c>
    </row>
    <row r="91" spans="1:5">
      <c r="A91" s="20" t="str">
        <f>'Validation List'!AR6</f>
        <v>Staff member</v>
      </c>
      <c r="B91" s="10">
        <f>COUNTIF(Table2[Who would you speak with if you were unhappy with something in your Centre],A91)</f>
        <v>0</v>
      </c>
      <c r="C91" s="10">
        <f t="shared" ref="C91:C100" si="0">B91/No_in_Audit*100</f>
        <v>0</v>
      </c>
      <c r="D91" s="10">
        <f>B91/(No_in_Audit-COUNTIF(Table2[Who would you speak with if you were unhappy with something in your Centre],"Not answered"))*100</f>
        <v>0</v>
      </c>
    </row>
    <row r="92" spans="1:5">
      <c r="A92" s="20" t="str">
        <f>'Validation List'!AR7</f>
        <v>Family member or friend</v>
      </c>
      <c r="B92" s="10">
        <f>COUNTIF(Table2[Who would you speak with if you were unhappy with something in your Centre],A92)</f>
        <v>0</v>
      </c>
      <c r="C92" s="10">
        <f t="shared" si="0"/>
        <v>0</v>
      </c>
      <c r="D92" s="10">
        <f>B92/(No_in_Audit-COUNTIF(Table2[Who would you speak with if you were unhappy with something in your Centre],"Not answered"))*100</f>
        <v>0</v>
      </c>
    </row>
    <row r="93" spans="1:5">
      <c r="A93" s="20" t="str">
        <f>'Validation List'!AR8</f>
        <v>Don't know</v>
      </c>
      <c r="B93" s="10">
        <f>COUNTIF(Table2[Who would you speak with if you were unhappy with something in your Centre],A93)</f>
        <v>0</v>
      </c>
      <c r="C93" s="10">
        <f t="shared" si="0"/>
        <v>0</v>
      </c>
      <c r="D93" s="10">
        <f>B93/(No_in_Audit-COUNTIF(Table2[Who would you speak with if you were unhappy with something in your Centre],"Not answered"))*100</f>
        <v>0</v>
      </c>
    </row>
    <row r="94" spans="1:5">
      <c r="A94" s="20" t="str">
        <f>'Validation List'!AR9</f>
        <v>Ombudsman</v>
      </c>
      <c r="B94" s="10">
        <f>COUNTIF(Table2[Who would you speak with if you were unhappy with something in your Centre],A94)</f>
        <v>0</v>
      </c>
      <c r="C94" s="10">
        <f t="shared" si="0"/>
        <v>0</v>
      </c>
      <c r="D94" s="10">
        <f>B94/(No_in_Audit-COUNTIF(Table2[Who would you speak with if you were unhappy with something in your Centre],"Not answered"))*100</f>
        <v>0</v>
      </c>
    </row>
    <row r="95" spans="1:5">
      <c r="A95" s="20" t="str">
        <f>'Validation List'!AR10</f>
        <v>Confidential Recipient</v>
      </c>
      <c r="B95" s="10">
        <f>COUNTIF(Table2[Who would you speak with if you were unhappy with something in your Centre],A95)</f>
        <v>0</v>
      </c>
      <c r="C95" s="10">
        <f t="shared" si="0"/>
        <v>0</v>
      </c>
      <c r="D95" s="10">
        <f>B95/(No_in_Audit-COUNTIF(Table2[Who would you speak with if you were unhappy with something in your Centre],"Not answered"))*100</f>
        <v>0</v>
      </c>
    </row>
    <row r="96" spans="1:5">
      <c r="A96" s="20" t="str">
        <f>'Validation List'!AR11</f>
        <v>Independent Advocate</v>
      </c>
      <c r="B96" s="10">
        <f>COUNTIF(Table2[Who would you speak with if you were unhappy with something in your Centre],A96)</f>
        <v>0</v>
      </c>
      <c r="C96" s="10">
        <f t="shared" si="0"/>
        <v>0</v>
      </c>
      <c r="D96" s="10">
        <f>B96/(No_in_Audit-COUNTIF(Table2[Who would you speak with if you were unhappy with something in your Centre],"Not answered"))*100</f>
        <v>0</v>
      </c>
    </row>
    <row r="97" spans="1:4">
      <c r="A97" s="20" t="str">
        <f>'Validation List'!AR12</f>
        <v>Complaints Officer</v>
      </c>
      <c r="B97" s="10">
        <f>COUNTIF(Table2[Who would you speak with if you were unhappy with something in your Centre],A97)</f>
        <v>0</v>
      </c>
      <c r="C97" s="10">
        <f t="shared" si="0"/>
        <v>0</v>
      </c>
      <c r="D97" s="10">
        <f>B97/(No_in_Audit-COUNTIF(Table2[Who would you speak with if you were unhappy with something in your Centre],"Not answered"))*100</f>
        <v>0</v>
      </c>
    </row>
    <row r="98" spans="1:4">
      <c r="A98" s="20" t="str">
        <f>'Validation List'!AR13</f>
        <v>Disability Manager</v>
      </c>
      <c r="B98" s="10">
        <f>COUNTIF(Table2[Who would you speak with if you were unhappy with something in your Centre],A98)</f>
        <v>0</v>
      </c>
      <c r="C98" s="10">
        <f t="shared" si="0"/>
        <v>0</v>
      </c>
      <c r="D98" s="10">
        <f>B98/(No_in_Audit-COUNTIF(Table2[Who would you speak with if you were unhappy with something in your Centre],"Not answered"))*100</f>
        <v>0</v>
      </c>
    </row>
    <row r="99" spans="1:4">
      <c r="A99" s="20" t="str">
        <f>'Validation List'!AR14</f>
        <v>Not applicable to me</v>
      </c>
      <c r="B99" s="10">
        <f>COUNTIF(Table2[Who would you speak with if you were unhappy with something in your Centre],A99)</f>
        <v>0</v>
      </c>
      <c r="C99" s="10">
        <f t="shared" si="0"/>
        <v>0</v>
      </c>
      <c r="D99" s="10">
        <f>B99/(No_in_Audit-COUNTIF(Table2[Who would you speak with if you were unhappy with something in your Centre],"Not answered"))*100</f>
        <v>0</v>
      </c>
    </row>
    <row r="100" spans="1:4">
      <c r="A100" s="20" t="str">
        <f>'Validation List'!AR15</f>
        <v>Not answered</v>
      </c>
      <c r="B100" s="10">
        <f>COUNTIF(Table2[Who would you speak with if you were unhappy with something in your Centre],A100)</f>
        <v>0</v>
      </c>
      <c r="C100" s="10">
        <f t="shared" si="0"/>
        <v>0</v>
      </c>
      <c r="D100" s="10"/>
    </row>
    <row r="101" spans="1:4">
      <c r="A101" s="20" t="s">
        <v>39</v>
      </c>
      <c r="B101" s="10">
        <f>SUM(B91:B100)</f>
        <v>0</v>
      </c>
      <c r="C101" s="10">
        <f>SUM(C91:C100)</f>
        <v>0</v>
      </c>
      <c r="D101" s="10">
        <f>SUM(D91:D100)</f>
        <v>0</v>
      </c>
    </row>
    <row r="102" spans="1:4">
      <c r="A102" s="2"/>
      <c r="B102" s="11"/>
      <c r="C102" s="11"/>
      <c r="D102" s="11"/>
    </row>
    <row r="103" spans="1:4">
      <c r="A103" s="2"/>
      <c r="B103" s="11"/>
      <c r="C103" s="11"/>
      <c r="D103" s="11"/>
    </row>
    <row r="104" spans="1:4">
      <c r="A104" s="73" t="s">
        <v>234</v>
      </c>
      <c r="B104" s="70"/>
      <c r="C104" s="70"/>
      <c r="D104" s="70"/>
    </row>
    <row r="105" spans="1:4" ht="27.75" customHeight="1">
      <c r="A105" s="4"/>
      <c r="B105" s="35" t="s">
        <v>160</v>
      </c>
      <c r="C105" s="27" t="s">
        <v>164</v>
      </c>
      <c r="D105" s="37" t="s">
        <v>169</v>
      </c>
    </row>
    <row r="106" spans="1:4" ht="45">
      <c r="A106" s="29" t="s">
        <v>235</v>
      </c>
      <c r="B106" s="32">
        <f>COUNTIF(Table2[Have you ever made a complaint about something in your Centre?],$B$105)/(No_in_Audit-COUNTIF(Table2[Have you ever made a complaint about something in your Centre?],"Not answered"))*100</f>
        <v>0</v>
      </c>
      <c r="C106" s="30">
        <f>COUNTIF(Table2[Have you ever made a complaint about something in your Centre?],$C$105)/(No_in_Audit-COUNTIF(Table2[Have you ever made a complaint about something in your Centre?],"Not answered"))*100</f>
        <v>0</v>
      </c>
      <c r="D106" s="30">
        <f>COUNTIF(Table2[Have you ever made a complaint about something in your Centre?],$D$105)/(No_in_Audit-COUNTIF(Table2[Have you ever made a complaint about something in your Centre?],"Not answered"))*100</f>
        <v>0</v>
      </c>
    </row>
    <row r="107" spans="1:4" ht="45">
      <c r="A107" s="29" t="s">
        <v>156</v>
      </c>
      <c r="B107" s="32">
        <f>COUNTIF(Table2[Were you happy with the way your complaint was dealt with?],$B$105)/(No_in_Audit-COUNTIF(Table2[Were you happy with the way your complaint was dealt with?],"Not answered"))*100</f>
        <v>0</v>
      </c>
      <c r="C107" s="30">
        <f>COUNTIF(Table2[Were you happy with the way your complaint was dealt with?],$C$105)/(No_in_Audit-COUNTIF(Table2[Were you happy with the way your complaint was dealt with?],"Not answered"))*100</f>
        <v>0</v>
      </c>
      <c r="D107" s="30">
        <f>COUNTIF(Table2[Were you happy with the way your complaint was dealt with?],$D$105)/(No_in_Audit-COUNTIF(Table2[Were you happy with the way your complaint was dealt with?],"Not answered"))*100</f>
        <v>0</v>
      </c>
    </row>
    <row r="108" spans="1:4">
      <c r="A108" s="2"/>
      <c r="B108" s="11"/>
      <c r="C108" s="11"/>
      <c r="D108" s="11"/>
    </row>
    <row r="109" spans="1:4">
      <c r="A109" s="2"/>
      <c r="B109" s="11"/>
      <c r="C109" s="11"/>
      <c r="D109" s="11"/>
    </row>
    <row r="110" spans="1:4">
      <c r="A110" s="58" t="str">
        <f>'Validation List'!AU3</f>
        <v xml:space="preserve">Person completing this form </v>
      </c>
      <c r="B110" s="59"/>
      <c r="C110" s="59"/>
      <c r="D110" s="60"/>
    </row>
    <row r="111" spans="1:4">
      <c r="A111" s="20"/>
      <c r="B111" s="10" t="s">
        <v>37</v>
      </c>
      <c r="C111" s="10" t="s">
        <v>38</v>
      </c>
      <c r="D111" s="10" t="s">
        <v>40</v>
      </c>
    </row>
    <row r="112" spans="1:4">
      <c r="A112" s="20" t="str">
        <f>'Validation List'!AU6</f>
        <v>Resident</v>
      </c>
      <c r="B112" s="10">
        <f>COUNTIF(Table2[[Person completing this form ]],A112)</f>
        <v>0</v>
      </c>
      <c r="C112" s="10">
        <f t="shared" ref="C112:C116" si="1">B112/No_in_Audit*100</f>
        <v>0</v>
      </c>
      <c r="D112" s="10">
        <f>B112/(No_in_Audit-COUNTIF(Table2[[Person completing this form ]],"Not answered"))*100</f>
        <v>0</v>
      </c>
    </row>
    <row r="113" spans="1:4">
      <c r="A113" s="20" t="str">
        <f>'Validation List'!AU7</f>
        <v>Relative or friend</v>
      </c>
      <c r="B113" s="10">
        <f>COUNTIF(Table2[[Person completing this form ]],A113)</f>
        <v>0</v>
      </c>
      <c r="C113" s="10">
        <f t="shared" si="1"/>
        <v>0</v>
      </c>
      <c r="D113" s="10">
        <f>B113/(No_in_Audit-COUNTIF(Table2[[Person completing this form ]],"Not answered"))*100</f>
        <v>0</v>
      </c>
    </row>
    <row r="114" spans="1:4">
      <c r="A114" s="20" t="str">
        <f>'Validation List'!AU8</f>
        <v>Staff member</v>
      </c>
      <c r="B114" s="10">
        <f>COUNTIF(Table2[[Person completing this form ]],A114)</f>
        <v>0</v>
      </c>
      <c r="C114" s="10">
        <f t="shared" si="1"/>
        <v>0</v>
      </c>
      <c r="D114" s="10">
        <f>B114/(No_in_Audit-COUNTIF(Table2[[Person completing this form ]],"Not answered"))*100</f>
        <v>0</v>
      </c>
    </row>
    <row r="115" spans="1:4">
      <c r="A115" s="20" t="str">
        <f>'Validation List'!AU9</f>
        <v>Other</v>
      </c>
      <c r="B115" s="10">
        <f>COUNTIF(Table2[[Person completing this form ]],A115)</f>
        <v>0</v>
      </c>
      <c r="C115" s="10">
        <f t="shared" si="1"/>
        <v>0</v>
      </c>
      <c r="D115" s="10">
        <f>B115/(No_in_Audit-COUNTIF(Table2[[Person completing this form ]],"Not answered"))*100</f>
        <v>0</v>
      </c>
    </row>
    <row r="116" spans="1:4">
      <c r="A116" s="20" t="str">
        <f>'Validation List'!AU15</f>
        <v>Not answered</v>
      </c>
      <c r="B116" s="10">
        <f>COUNTIF(Table2[[Person completing this form ]],A116)</f>
        <v>0</v>
      </c>
      <c r="C116" s="10">
        <f t="shared" si="1"/>
        <v>0</v>
      </c>
      <c r="D116" s="10"/>
    </row>
    <row r="117" spans="1:4">
      <c r="A117" s="20" t="s">
        <v>39</v>
      </c>
      <c r="B117" s="10">
        <f>SUM(B112:B116)</f>
        <v>0</v>
      </c>
      <c r="C117" s="10">
        <f>SUM(C112:C116)</f>
        <v>0</v>
      </c>
      <c r="D117" s="10">
        <f>SUM(D112:D116)</f>
        <v>0</v>
      </c>
    </row>
    <row r="118" spans="1:4">
      <c r="A118" s="2"/>
      <c r="B118" s="11"/>
      <c r="C118" s="11"/>
      <c r="D118" s="11"/>
    </row>
    <row r="119" spans="1:4">
      <c r="A119" s="2"/>
      <c r="B119" s="11"/>
      <c r="C119" s="11"/>
      <c r="D119" s="11"/>
    </row>
    <row r="120" spans="1:4">
      <c r="A120" s="58" t="str">
        <f>'Validation List'!AV3</f>
        <v>Would you like the PIC  to contact you to discuss anything in this questionnaire</v>
      </c>
      <c r="B120" s="59"/>
      <c r="C120" s="59"/>
      <c r="D120" s="60"/>
    </row>
    <row r="121" spans="1:4">
      <c r="A121" s="20"/>
      <c r="B121" s="10" t="s">
        <v>37</v>
      </c>
      <c r="C121" s="10" t="s">
        <v>38</v>
      </c>
      <c r="D121" s="10" t="s">
        <v>40</v>
      </c>
    </row>
    <row r="122" spans="1:4">
      <c r="A122" s="20" t="str">
        <f>'Validation List'!AV6</f>
        <v>Yes</v>
      </c>
      <c r="B122" s="10">
        <f>COUNTIF(Table2[Would you like the PIC  to contact you to discuss anything in this questionnaire],A122)</f>
        <v>0</v>
      </c>
      <c r="C122" s="10">
        <f>B122/No_in_Audit*100</f>
        <v>0</v>
      </c>
      <c r="D122" s="10">
        <f>B122/(No_in_Audit-COUNTIF(Table2[Would you like the PIC  to contact you to discuss anything in this questionnaire],"Not answered"))*100</f>
        <v>0</v>
      </c>
    </row>
    <row r="123" spans="1:4">
      <c r="A123" s="20" t="str">
        <f>'Validation List'!AV7</f>
        <v>No</v>
      </c>
      <c r="B123" s="10">
        <f>COUNTIF(Table2[Would you like the PIC  to contact you to discuss anything in this questionnaire],A123)</f>
        <v>0</v>
      </c>
      <c r="C123" s="10">
        <f>B123/No_in_Audit*100</f>
        <v>0</v>
      </c>
      <c r="D123" s="10">
        <f>B123/(No_in_Audit-COUNTIF(Table2[Would you like the PIC  to contact you to discuss anything in this questionnaire],"Not answered"))*100</f>
        <v>0</v>
      </c>
    </row>
    <row r="124" spans="1:4">
      <c r="A124" s="20" t="str">
        <f>'Validation List'!AV15</f>
        <v>Not answered</v>
      </c>
      <c r="B124" s="10">
        <f>COUNTIF(Table2[Would you like the PIC  to contact you to discuss anything in this questionnaire],A124)</f>
        <v>0</v>
      </c>
      <c r="C124" s="10">
        <f>B124/No_in_Audit*100</f>
        <v>0</v>
      </c>
      <c r="D124" s="10"/>
    </row>
    <row r="125" spans="1:4">
      <c r="A125" s="20" t="s">
        <v>39</v>
      </c>
      <c r="B125" s="10">
        <f>SUM(B122:B124)</f>
        <v>0</v>
      </c>
      <c r="C125" s="10">
        <f>SUM(C122:C124)</f>
        <v>0</v>
      </c>
      <c r="D125" s="10">
        <f>SUM(D122:D124)</f>
        <v>0</v>
      </c>
    </row>
    <row r="126" spans="1:4">
      <c r="A126" s="2"/>
      <c r="B126" s="11"/>
      <c r="C126" s="11"/>
      <c r="D126" s="11"/>
    </row>
    <row r="127" spans="1:4">
      <c r="A127" s="2"/>
      <c r="B127" s="11"/>
      <c r="C127" s="11"/>
      <c r="D127" s="11"/>
    </row>
  </sheetData>
  <sheetProtection sheet="1" objects="1" scenarios="1"/>
  <mergeCells count="20">
    <mergeCell ref="A78:D78"/>
    <mergeCell ref="A104:D104"/>
    <mergeCell ref="A110:D110"/>
    <mergeCell ref="A120:D120"/>
    <mergeCell ref="A10:D10"/>
    <mergeCell ref="A18:D18"/>
    <mergeCell ref="A26:D26"/>
    <mergeCell ref="A39:D39"/>
    <mergeCell ref="A45:D45"/>
    <mergeCell ref="A89:D89"/>
    <mergeCell ref="B6:D6"/>
    <mergeCell ref="A58:D58"/>
    <mergeCell ref="A66:D66"/>
    <mergeCell ref="A71:D71"/>
    <mergeCell ref="B7:D7"/>
    <mergeCell ref="A1:D1"/>
    <mergeCell ref="B2:D2"/>
    <mergeCell ref="B3:D3"/>
    <mergeCell ref="B4:D4"/>
    <mergeCell ref="B5:D5"/>
  </mergeCells>
  <pageMargins left="0.70866141732283472" right="0.70866141732283472" top="0.74803149606299213" bottom="0.74803149606299213" header="0.31496062992125984" footer="0.31496062992125984"/>
  <pageSetup paperSize="9" scale="87" orientation="portrait" r:id="rId1"/>
  <rowBreaks count="2" manualBreakCount="2">
    <brk id="77" max="16383" man="1"/>
    <brk id="118" max="16383" man="1"/>
  </rowBreaks>
</worksheet>
</file>

<file path=xl/worksheets/sheet6.xml><?xml version="1.0" encoding="utf-8"?>
<worksheet xmlns="http://schemas.openxmlformats.org/spreadsheetml/2006/main" xmlns:r="http://schemas.openxmlformats.org/officeDocument/2006/relationships">
  <dimension ref="A1:H562"/>
  <sheetViews>
    <sheetView zoomScaleNormal="100" workbookViewId="0">
      <selection activeCell="I18" sqref="I18"/>
    </sheetView>
  </sheetViews>
  <sheetFormatPr defaultRowHeight="15"/>
  <cols>
    <col min="1" max="1" width="25.7109375" style="1" customWidth="1"/>
    <col min="2" max="3" width="19.7109375" customWidth="1"/>
    <col min="4" max="4" width="19.7109375" style="9"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71" t="str">
        <f>'Survey Tool'!B5:C5</f>
        <v>Quarter 2 2018</v>
      </c>
      <c r="C5" s="71"/>
      <c r="D5" s="72"/>
    </row>
    <row r="6" spans="1:4">
      <c r="A6" s="4" t="str">
        <f>'Survey Tool'!A6</f>
        <v>No in Survey</v>
      </c>
      <c r="B6" s="66">
        <f>'Survey Tool'!B6:C6</f>
        <v>6</v>
      </c>
      <c r="C6" s="66"/>
      <c r="D6" s="62"/>
    </row>
    <row r="7" spans="1:4">
      <c r="A7" s="4" t="str">
        <f>'Survey Tool'!A7</f>
        <v>No of Residents</v>
      </c>
      <c r="B7" s="66">
        <f>'Survey Tool'!B7:C7</f>
        <v>8</v>
      </c>
      <c r="C7" s="66"/>
      <c r="D7" s="62"/>
    </row>
    <row r="10" spans="1:4">
      <c r="A10"/>
      <c r="D10"/>
    </row>
    <row r="11" spans="1:4">
      <c r="A11"/>
      <c r="D11"/>
    </row>
    <row r="12" spans="1:4">
      <c r="A12"/>
      <c r="D12"/>
    </row>
    <row r="13" spans="1:4">
      <c r="A13"/>
      <c r="D13"/>
    </row>
    <row r="14" spans="1:4">
      <c r="A14"/>
      <c r="D14"/>
    </row>
    <row r="15" spans="1:4">
      <c r="A15"/>
      <c r="D15"/>
    </row>
    <row r="16" spans="1:4">
      <c r="A16"/>
      <c r="D16"/>
    </row>
    <row r="17" spans="1:4">
      <c r="A17"/>
      <c r="D17"/>
    </row>
    <row r="18" spans="1:4">
      <c r="A18"/>
      <c r="D18"/>
    </row>
    <row r="19" spans="1:4">
      <c r="A19"/>
      <c r="D19"/>
    </row>
    <row r="20" spans="1:4">
      <c r="A20"/>
      <c r="D20"/>
    </row>
    <row r="21" spans="1:4">
      <c r="A21"/>
      <c r="D21"/>
    </row>
    <row r="22" spans="1:4">
      <c r="A22"/>
      <c r="D22"/>
    </row>
    <row r="23" spans="1:4">
      <c r="A23"/>
      <c r="D23"/>
    </row>
    <row r="24" spans="1:4">
      <c r="A24"/>
      <c r="D24"/>
    </row>
    <row r="25" spans="1:4">
      <c r="A25"/>
      <c r="D25"/>
    </row>
    <row r="26" spans="1:4">
      <c r="A26"/>
      <c r="D26"/>
    </row>
    <row r="27" spans="1:4">
      <c r="A27"/>
      <c r="D27"/>
    </row>
    <row r="28" spans="1:4">
      <c r="A28"/>
      <c r="D28"/>
    </row>
    <row r="29" spans="1:4">
      <c r="A29"/>
      <c r="D29"/>
    </row>
    <row r="30" spans="1:4">
      <c r="A30"/>
      <c r="D30"/>
    </row>
    <row r="31" spans="1:4">
      <c r="A31"/>
      <c r="D31"/>
    </row>
    <row r="32" spans="1:4">
      <c r="A32"/>
      <c r="D32"/>
    </row>
    <row r="33" spans="1:4">
      <c r="A33"/>
      <c r="D33"/>
    </row>
    <row r="34" spans="1:4">
      <c r="A34"/>
      <c r="D34"/>
    </row>
    <row r="35" spans="1:4">
      <c r="A35"/>
      <c r="D35"/>
    </row>
    <row r="36" spans="1:4">
      <c r="A36"/>
      <c r="D36"/>
    </row>
    <row r="37" spans="1:4">
      <c r="A37"/>
      <c r="D37"/>
    </row>
    <row r="38" spans="1:4">
      <c r="A38"/>
      <c r="D38"/>
    </row>
    <row r="39" spans="1:4">
      <c r="A39"/>
      <c r="D39"/>
    </row>
    <row r="40" spans="1:4">
      <c r="A40"/>
      <c r="D40"/>
    </row>
    <row r="41" spans="1:4">
      <c r="A41"/>
      <c r="D41"/>
    </row>
    <row r="42" spans="1:4">
      <c r="A42"/>
      <c r="D42"/>
    </row>
    <row r="43" spans="1:4">
      <c r="A43"/>
      <c r="D43"/>
    </row>
    <row r="44" spans="1:4">
      <c r="A44"/>
      <c r="D44"/>
    </row>
    <row r="45" spans="1:4">
      <c r="A45"/>
      <c r="D45"/>
    </row>
    <row r="46" spans="1:4">
      <c r="A46"/>
      <c r="D46"/>
    </row>
    <row r="47" spans="1:4">
      <c r="A47"/>
      <c r="D47"/>
    </row>
    <row r="48" spans="1:4">
      <c r="A48"/>
      <c r="D48"/>
    </row>
    <row r="49" spans="1:4">
      <c r="A49"/>
      <c r="D49"/>
    </row>
    <row r="50" spans="1:4">
      <c r="A50"/>
      <c r="D50"/>
    </row>
    <row r="51" spans="1:4">
      <c r="A51"/>
      <c r="D51"/>
    </row>
    <row r="52" spans="1:4">
      <c r="A52"/>
      <c r="D52"/>
    </row>
    <row r="53" spans="1:4">
      <c r="A53"/>
      <c r="D53"/>
    </row>
    <row r="54" spans="1:4">
      <c r="A54"/>
      <c r="D54"/>
    </row>
    <row r="55" spans="1:4">
      <c r="A55"/>
      <c r="D55"/>
    </row>
    <row r="56" spans="1:4">
      <c r="A56"/>
      <c r="D56"/>
    </row>
    <row r="57" spans="1:4">
      <c r="A57"/>
      <c r="D57"/>
    </row>
    <row r="58" spans="1:4">
      <c r="A58"/>
      <c r="D58"/>
    </row>
    <row r="59" spans="1:4">
      <c r="A59"/>
      <c r="D59"/>
    </row>
    <row r="60" spans="1:4">
      <c r="A60"/>
      <c r="D60"/>
    </row>
    <row r="61" spans="1:4">
      <c r="A61"/>
      <c r="D61"/>
    </row>
    <row r="62" spans="1:4">
      <c r="A62"/>
      <c r="D62"/>
    </row>
    <row r="63" spans="1:4">
      <c r="A63"/>
      <c r="D63"/>
    </row>
    <row r="64" spans="1:4">
      <c r="A64"/>
      <c r="D64"/>
    </row>
    <row r="65" spans="1:8">
      <c r="A65"/>
      <c r="D65"/>
    </row>
    <row r="66" spans="1:8">
      <c r="B66" s="1"/>
      <c r="C66" s="1"/>
      <c r="D66" s="1"/>
      <c r="E66" s="1"/>
      <c r="F66" s="1"/>
      <c r="G66" s="1"/>
      <c r="H66" s="1"/>
    </row>
    <row r="67" spans="1:8">
      <c r="A67"/>
      <c r="D67"/>
    </row>
    <row r="68" spans="1:8">
      <c r="A68"/>
      <c r="D68"/>
    </row>
    <row r="69" spans="1:8">
      <c r="A69"/>
      <c r="D69"/>
    </row>
    <row r="70" spans="1:8">
      <c r="A70"/>
      <c r="D70"/>
    </row>
    <row r="71" spans="1:8">
      <c r="A71"/>
      <c r="D71"/>
    </row>
    <row r="72" spans="1:8">
      <c r="A72"/>
      <c r="D72"/>
    </row>
    <row r="73" spans="1:8">
      <c r="A73"/>
      <c r="D73"/>
    </row>
    <row r="74" spans="1:8">
      <c r="A74"/>
      <c r="D74"/>
    </row>
    <row r="75" spans="1:8">
      <c r="A75"/>
      <c r="D75"/>
    </row>
    <row r="76" spans="1:8">
      <c r="A76"/>
      <c r="D76"/>
    </row>
    <row r="77" spans="1:8">
      <c r="A77"/>
      <c r="D77"/>
    </row>
    <row r="78" spans="1:8">
      <c r="A78"/>
      <c r="D78"/>
    </row>
    <row r="79" spans="1:8">
      <c r="A79"/>
      <c r="D79"/>
    </row>
    <row r="80" spans="1:8">
      <c r="A80"/>
      <c r="D80"/>
    </row>
    <row r="81" spans="1:4">
      <c r="A81"/>
      <c r="D81"/>
    </row>
    <row r="82" spans="1:4">
      <c r="A82"/>
      <c r="D82"/>
    </row>
    <row r="83" spans="1:4">
      <c r="A83"/>
      <c r="D83"/>
    </row>
    <row r="84" spans="1:4">
      <c r="A84"/>
      <c r="D84"/>
    </row>
    <row r="85" spans="1:4">
      <c r="A85"/>
      <c r="D85"/>
    </row>
    <row r="86" spans="1:4">
      <c r="A86"/>
      <c r="D86"/>
    </row>
    <row r="87" spans="1:4">
      <c r="A87"/>
      <c r="D87"/>
    </row>
    <row r="88" spans="1:4">
      <c r="A88"/>
      <c r="D88"/>
    </row>
    <row r="89" spans="1:4">
      <c r="A89"/>
      <c r="D89"/>
    </row>
    <row r="90" spans="1:4">
      <c r="A90"/>
      <c r="D90"/>
    </row>
    <row r="91" spans="1:4">
      <c r="A91"/>
      <c r="D91"/>
    </row>
    <row r="92" spans="1:4">
      <c r="A92"/>
      <c r="D92"/>
    </row>
    <row r="93" spans="1:4">
      <c r="A93"/>
      <c r="D93"/>
    </row>
    <row r="94" spans="1:4">
      <c r="A94"/>
      <c r="D94"/>
    </row>
    <row r="95" spans="1:4">
      <c r="A95"/>
      <c r="D95"/>
    </row>
    <row r="96" spans="1:4">
      <c r="A96"/>
      <c r="D96"/>
    </row>
    <row r="97" spans="1:4">
      <c r="A97"/>
      <c r="D97"/>
    </row>
    <row r="98" spans="1:4">
      <c r="A98"/>
      <c r="D98"/>
    </row>
    <row r="99" spans="1:4">
      <c r="A99"/>
      <c r="D99"/>
    </row>
    <row r="100" spans="1:4">
      <c r="A100"/>
      <c r="D100"/>
    </row>
    <row r="101" spans="1:4">
      <c r="A101"/>
      <c r="D101"/>
    </row>
    <row r="102" spans="1:4">
      <c r="A102"/>
      <c r="D102"/>
    </row>
    <row r="103" spans="1:4">
      <c r="A103"/>
      <c r="D103"/>
    </row>
    <row r="104" spans="1:4">
      <c r="A104"/>
      <c r="D104"/>
    </row>
    <row r="105" spans="1:4">
      <c r="A105"/>
      <c r="D105"/>
    </row>
    <row r="106" spans="1:4">
      <c r="A106"/>
      <c r="D106"/>
    </row>
    <row r="107" spans="1:4">
      <c r="A107"/>
      <c r="D107"/>
    </row>
    <row r="108" spans="1:4">
      <c r="A108"/>
      <c r="D108"/>
    </row>
    <row r="109" spans="1:4">
      <c r="A109"/>
      <c r="D109"/>
    </row>
    <row r="110" spans="1:4">
      <c r="A110"/>
      <c r="D110"/>
    </row>
    <row r="111" spans="1:4">
      <c r="A111"/>
      <c r="D111"/>
    </row>
    <row r="112" spans="1:4">
      <c r="A112"/>
      <c r="D112"/>
    </row>
    <row r="113" spans="1:4">
      <c r="A113"/>
      <c r="D113"/>
    </row>
    <row r="114" spans="1:4">
      <c r="A114"/>
      <c r="D114"/>
    </row>
    <row r="115" spans="1:4">
      <c r="A115"/>
      <c r="D115"/>
    </row>
    <row r="116" spans="1:4">
      <c r="A116"/>
      <c r="D116"/>
    </row>
    <row r="117" spans="1:4">
      <c r="A117"/>
      <c r="D117"/>
    </row>
    <row r="118" spans="1:4">
      <c r="A118"/>
      <c r="D118"/>
    </row>
    <row r="119" spans="1:4">
      <c r="A119"/>
      <c r="D119"/>
    </row>
    <row r="120" spans="1:4">
      <c r="A120"/>
      <c r="D120"/>
    </row>
    <row r="121" spans="1:4">
      <c r="A121"/>
      <c r="D121"/>
    </row>
    <row r="122" spans="1:4">
      <c r="A122"/>
      <c r="D122"/>
    </row>
    <row r="123" spans="1:4">
      <c r="A123"/>
      <c r="D123"/>
    </row>
    <row r="124" spans="1:4">
      <c r="A124"/>
      <c r="D124"/>
    </row>
    <row r="125" spans="1:4">
      <c r="A125"/>
      <c r="D125"/>
    </row>
    <row r="126" spans="1:4">
      <c r="A126"/>
      <c r="D126"/>
    </row>
    <row r="127" spans="1:4">
      <c r="A127"/>
      <c r="D127"/>
    </row>
    <row r="128" spans="1:4">
      <c r="A128"/>
      <c r="D128"/>
    </row>
    <row r="129" spans="1:4">
      <c r="A129"/>
      <c r="D129"/>
    </row>
    <row r="130" spans="1:4">
      <c r="A130"/>
      <c r="D130"/>
    </row>
    <row r="131" spans="1:4">
      <c r="A131"/>
      <c r="D131"/>
    </row>
    <row r="132" spans="1:4">
      <c r="A132"/>
      <c r="D132"/>
    </row>
    <row r="133" spans="1:4">
      <c r="A133"/>
      <c r="D133"/>
    </row>
    <row r="134" spans="1:4">
      <c r="A134"/>
      <c r="D134"/>
    </row>
    <row r="135" spans="1:4">
      <c r="A135"/>
      <c r="D135"/>
    </row>
    <row r="136" spans="1:4">
      <c r="A136"/>
      <c r="D136"/>
    </row>
    <row r="137" spans="1:4">
      <c r="A137"/>
      <c r="D137"/>
    </row>
    <row r="138" spans="1:4">
      <c r="A138"/>
      <c r="D138"/>
    </row>
    <row r="139" spans="1:4">
      <c r="A139"/>
      <c r="D139"/>
    </row>
    <row r="140" spans="1:4">
      <c r="A140"/>
      <c r="D140"/>
    </row>
    <row r="141" spans="1:4">
      <c r="A141"/>
      <c r="D141"/>
    </row>
    <row r="142" spans="1:4">
      <c r="A142"/>
      <c r="D142"/>
    </row>
    <row r="143" spans="1:4">
      <c r="A143"/>
      <c r="D143"/>
    </row>
    <row r="144" spans="1:4">
      <c r="A144"/>
      <c r="D144"/>
    </row>
    <row r="145" spans="1:4">
      <c r="A145"/>
      <c r="D145"/>
    </row>
    <row r="146" spans="1:4">
      <c r="A146"/>
      <c r="D146"/>
    </row>
    <row r="147" spans="1:4">
      <c r="A147"/>
      <c r="D147"/>
    </row>
    <row r="148" spans="1:4">
      <c r="A148"/>
      <c r="D148"/>
    </row>
    <row r="149" spans="1:4">
      <c r="A149"/>
      <c r="D149"/>
    </row>
    <row r="150" spans="1:4">
      <c r="A150"/>
      <c r="D150"/>
    </row>
    <row r="151" spans="1:4">
      <c r="A151"/>
      <c r="D151"/>
    </row>
    <row r="152" spans="1:4">
      <c r="A152"/>
      <c r="D152"/>
    </row>
    <row r="153" spans="1:4">
      <c r="A153"/>
      <c r="D153"/>
    </row>
    <row r="154" spans="1:4">
      <c r="A154"/>
      <c r="D154"/>
    </row>
    <row r="155" spans="1:4">
      <c r="A155"/>
      <c r="D155"/>
    </row>
    <row r="156" spans="1:4">
      <c r="A156"/>
      <c r="D156"/>
    </row>
    <row r="157" spans="1:4">
      <c r="A157"/>
      <c r="D157"/>
    </row>
    <row r="158" spans="1:4">
      <c r="A158"/>
      <c r="D158"/>
    </row>
    <row r="159" spans="1:4">
      <c r="A159"/>
      <c r="D159"/>
    </row>
    <row r="160" spans="1:4">
      <c r="A160"/>
      <c r="D160"/>
    </row>
    <row r="161" spans="1:4">
      <c r="A161"/>
      <c r="D161"/>
    </row>
    <row r="162" spans="1:4">
      <c r="A162"/>
      <c r="D162"/>
    </row>
    <row r="163" spans="1:4">
      <c r="A163"/>
      <c r="D163"/>
    </row>
    <row r="164" spans="1:4">
      <c r="A164"/>
      <c r="D164"/>
    </row>
    <row r="165" spans="1:4">
      <c r="A165"/>
      <c r="D165"/>
    </row>
    <row r="166" spans="1:4">
      <c r="A166"/>
      <c r="D166"/>
    </row>
    <row r="167" spans="1:4">
      <c r="A167"/>
      <c r="D167"/>
    </row>
    <row r="168" spans="1:4">
      <c r="A168"/>
      <c r="D168"/>
    </row>
    <row r="169" spans="1:4">
      <c r="A169"/>
      <c r="D169"/>
    </row>
    <row r="170" spans="1:4">
      <c r="A170"/>
      <c r="D170"/>
    </row>
    <row r="171" spans="1:4">
      <c r="A171"/>
      <c r="D171"/>
    </row>
    <row r="172" spans="1:4">
      <c r="A172"/>
      <c r="D172"/>
    </row>
    <row r="173" spans="1:4">
      <c r="A173"/>
      <c r="D173"/>
    </row>
    <row r="174" spans="1:4">
      <c r="A174"/>
      <c r="D174"/>
    </row>
    <row r="175" spans="1:4">
      <c r="A175"/>
      <c r="D175"/>
    </row>
    <row r="176" spans="1:4">
      <c r="A176"/>
      <c r="D176"/>
    </row>
    <row r="177" spans="1:4">
      <c r="A177"/>
      <c r="D177"/>
    </row>
    <row r="178" spans="1:4">
      <c r="A178"/>
      <c r="D178"/>
    </row>
    <row r="179" spans="1:4">
      <c r="A179"/>
      <c r="D179"/>
    </row>
    <row r="180" spans="1:4">
      <c r="A180"/>
      <c r="D180"/>
    </row>
    <row r="181" spans="1:4">
      <c r="A181"/>
      <c r="D181"/>
    </row>
    <row r="182" spans="1:4">
      <c r="A182"/>
      <c r="D182"/>
    </row>
    <row r="183" spans="1:4">
      <c r="A183"/>
      <c r="D183"/>
    </row>
    <row r="184" spans="1:4">
      <c r="A184"/>
      <c r="D184"/>
    </row>
    <row r="185" spans="1:4">
      <c r="A185"/>
      <c r="D185"/>
    </row>
    <row r="186" spans="1:4">
      <c r="A186"/>
      <c r="D186"/>
    </row>
    <row r="187" spans="1:4">
      <c r="A187"/>
      <c r="D187"/>
    </row>
    <row r="188" spans="1:4">
      <c r="A188"/>
      <c r="D188"/>
    </row>
    <row r="189" spans="1:4">
      <c r="A189"/>
      <c r="D189"/>
    </row>
    <row r="190" spans="1:4">
      <c r="A190"/>
      <c r="D190"/>
    </row>
    <row r="191" spans="1:4">
      <c r="A191"/>
      <c r="D191"/>
    </row>
    <row r="192" spans="1:4">
      <c r="A192"/>
      <c r="D192"/>
    </row>
    <row r="193" spans="1:4">
      <c r="A193"/>
      <c r="D193"/>
    </row>
    <row r="194" spans="1:4">
      <c r="A194"/>
      <c r="D194"/>
    </row>
    <row r="195" spans="1:4">
      <c r="A195"/>
      <c r="D195"/>
    </row>
    <row r="196" spans="1:4">
      <c r="A196"/>
      <c r="D196"/>
    </row>
    <row r="197" spans="1:4">
      <c r="A197"/>
      <c r="D197"/>
    </row>
    <row r="198" spans="1:4">
      <c r="A198"/>
      <c r="D198"/>
    </row>
    <row r="199" spans="1:4">
      <c r="A199"/>
      <c r="D199"/>
    </row>
    <row r="200" spans="1:4">
      <c r="A200"/>
      <c r="D200"/>
    </row>
    <row r="201" spans="1:4">
      <c r="A201"/>
      <c r="D201"/>
    </row>
    <row r="202" spans="1:4">
      <c r="A202"/>
      <c r="D202"/>
    </row>
    <row r="203" spans="1:4">
      <c r="A203"/>
      <c r="D203"/>
    </row>
    <row r="204" spans="1:4">
      <c r="A204"/>
      <c r="D204"/>
    </row>
    <row r="205" spans="1:4">
      <c r="A205"/>
      <c r="D205"/>
    </row>
    <row r="206" spans="1:4">
      <c r="A206"/>
      <c r="D206"/>
    </row>
    <row r="207" spans="1:4">
      <c r="A207"/>
      <c r="D207"/>
    </row>
    <row r="208" spans="1:4">
      <c r="A208"/>
      <c r="D208"/>
    </row>
    <row r="209" spans="1:4">
      <c r="A209"/>
      <c r="D209"/>
    </row>
    <row r="210" spans="1:4">
      <c r="A210"/>
      <c r="D210"/>
    </row>
    <row r="211" spans="1:4">
      <c r="A211"/>
      <c r="D211"/>
    </row>
    <row r="212" spans="1:4">
      <c r="A212"/>
      <c r="D212"/>
    </row>
    <row r="213" spans="1:4">
      <c r="A213"/>
      <c r="D213"/>
    </row>
    <row r="214" spans="1:4">
      <c r="A214"/>
      <c r="D214"/>
    </row>
    <row r="215" spans="1:4">
      <c r="A215"/>
      <c r="D215"/>
    </row>
    <row r="216" spans="1:4">
      <c r="A216"/>
      <c r="D216"/>
    </row>
    <row r="217" spans="1:4">
      <c r="A217"/>
      <c r="D217"/>
    </row>
    <row r="218" spans="1:4">
      <c r="A218"/>
      <c r="D218"/>
    </row>
    <row r="219" spans="1:4">
      <c r="A219"/>
      <c r="D219"/>
    </row>
    <row r="220" spans="1:4">
      <c r="A220"/>
      <c r="D220"/>
    </row>
    <row r="221" spans="1:4">
      <c r="A221"/>
      <c r="D221"/>
    </row>
    <row r="222" spans="1:4">
      <c r="A222"/>
      <c r="D222"/>
    </row>
    <row r="223" spans="1:4">
      <c r="A223"/>
      <c r="D223"/>
    </row>
    <row r="224" spans="1:4">
      <c r="A224"/>
      <c r="D224"/>
    </row>
    <row r="225" spans="1:4">
      <c r="A225"/>
      <c r="D225"/>
    </row>
    <row r="226" spans="1:4">
      <c r="A226"/>
      <c r="D226"/>
    </row>
    <row r="227" spans="1:4">
      <c r="A227"/>
      <c r="D227"/>
    </row>
    <row r="228" spans="1:4">
      <c r="A228"/>
      <c r="D228"/>
    </row>
    <row r="229" spans="1:4">
      <c r="A229"/>
      <c r="D229"/>
    </row>
    <row r="230" spans="1:4">
      <c r="A230"/>
      <c r="D230"/>
    </row>
    <row r="231" spans="1:4">
      <c r="A231"/>
      <c r="D231"/>
    </row>
    <row r="232" spans="1:4">
      <c r="A232"/>
      <c r="D232"/>
    </row>
    <row r="233" spans="1:4">
      <c r="A233"/>
      <c r="D233"/>
    </row>
    <row r="234" spans="1:4">
      <c r="A234"/>
      <c r="D234"/>
    </row>
    <row r="235" spans="1:4">
      <c r="A235"/>
      <c r="D235"/>
    </row>
    <row r="236" spans="1:4">
      <c r="A236"/>
      <c r="D236"/>
    </row>
    <row r="237" spans="1:4">
      <c r="A237"/>
      <c r="D237"/>
    </row>
    <row r="238" spans="1:4">
      <c r="A238"/>
      <c r="D238"/>
    </row>
    <row r="239" spans="1:4">
      <c r="A239"/>
      <c r="D239"/>
    </row>
    <row r="240" spans="1:4">
      <c r="A240"/>
      <c r="D240"/>
    </row>
    <row r="241" spans="1:4">
      <c r="A241"/>
      <c r="D241"/>
    </row>
    <row r="242" spans="1:4">
      <c r="A242"/>
      <c r="D242"/>
    </row>
    <row r="243" spans="1:4">
      <c r="A243"/>
      <c r="D243"/>
    </row>
    <row r="244" spans="1:4">
      <c r="A244"/>
      <c r="D244"/>
    </row>
    <row r="245" spans="1:4">
      <c r="A245"/>
      <c r="D245"/>
    </row>
    <row r="246" spans="1:4">
      <c r="A246"/>
      <c r="D246"/>
    </row>
    <row r="247" spans="1:4">
      <c r="A247"/>
      <c r="D247"/>
    </row>
    <row r="248" spans="1:4">
      <c r="A248"/>
      <c r="D248"/>
    </row>
    <row r="249" spans="1:4">
      <c r="A249"/>
      <c r="D249"/>
    </row>
    <row r="250" spans="1:4">
      <c r="A250"/>
      <c r="D250"/>
    </row>
    <row r="251" spans="1:4">
      <c r="A251"/>
      <c r="D251"/>
    </row>
    <row r="252" spans="1:4">
      <c r="A252"/>
      <c r="D252"/>
    </row>
    <row r="253" spans="1:4">
      <c r="A253"/>
      <c r="D253"/>
    </row>
    <row r="254" spans="1:4">
      <c r="A254"/>
      <c r="D254"/>
    </row>
    <row r="255" spans="1:4">
      <c r="A255"/>
      <c r="D255"/>
    </row>
    <row r="256" spans="1:4">
      <c r="A256"/>
      <c r="D256"/>
    </row>
    <row r="257" spans="1:4">
      <c r="A257"/>
      <c r="D257"/>
    </row>
    <row r="258" spans="1:4">
      <c r="A258"/>
      <c r="D258"/>
    </row>
    <row r="259" spans="1:4">
      <c r="A259"/>
      <c r="D259"/>
    </row>
    <row r="260" spans="1:4">
      <c r="A260"/>
      <c r="D260"/>
    </row>
    <row r="261" spans="1:4">
      <c r="A261"/>
      <c r="D261"/>
    </row>
    <row r="262" spans="1:4">
      <c r="A262"/>
      <c r="D262"/>
    </row>
    <row r="263" spans="1:4">
      <c r="A263"/>
      <c r="D263"/>
    </row>
    <row r="264" spans="1:4">
      <c r="A264"/>
      <c r="D264"/>
    </row>
    <row r="265" spans="1:4">
      <c r="A265"/>
      <c r="D265"/>
    </row>
    <row r="266" spans="1:4">
      <c r="A266"/>
      <c r="D266"/>
    </row>
    <row r="267" spans="1:4">
      <c r="A267"/>
      <c r="D267"/>
    </row>
    <row r="268" spans="1:4">
      <c r="A268"/>
      <c r="D268"/>
    </row>
    <row r="269" spans="1:4">
      <c r="A269"/>
      <c r="D269"/>
    </row>
    <row r="270" spans="1:4">
      <c r="A270"/>
      <c r="D270"/>
    </row>
    <row r="271" spans="1:4">
      <c r="A271"/>
      <c r="D271"/>
    </row>
    <row r="272" spans="1:4">
      <c r="A272"/>
      <c r="D272"/>
    </row>
    <row r="273" spans="1:4">
      <c r="A273"/>
      <c r="D273"/>
    </row>
    <row r="274" spans="1:4">
      <c r="A274"/>
      <c r="D274"/>
    </row>
    <row r="275" spans="1:4">
      <c r="A275"/>
      <c r="D275"/>
    </row>
    <row r="276" spans="1:4">
      <c r="A276"/>
      <c r="D276"/>
    </row>
    <row r="277" spans="1:4">
      <c r="A277"/>
      <c r="D277"/>
    </row>
    <row r="278" spans="1:4">
      <c r="A278"/>
      <c r="D278"/>
    </row>
    <row r="279" spans="1:4">
      <c r="A279"/>
      <c r="D279"/>
    </row>
    <row r="280" spans="1:4">
      <c r="A280"/>
      <c r="D280"/>
    </row>
    <row r="281" spans="1:4">
      <c r="A281"/>
      <c r="D281"/>
    </row>
    <row r="282" spans="1:4">
      <c r="A282"/>
      <c r="D282"/>
    </row>
    <row r="283" spans="1:4">
      <c r="A283"/>
      <c r="D283"/>
    </row>
    <row r="284" spans="1:4">
      <c r="A284"/>
      <c r="D284"/>
    </row>
    <row r="285" spans="1:4">
      <c r="A285"/>
      <c r="D285"/>
    </row>
    <row r="286" spans="1:4">
      <c r="A286"/>
      <c r="D286"/>
    </row>
    <row r="287" spans="1:4">
      <c r="A287"/>
      <c r="D287"/>
    </row>
    <row r="288" spans="1:4">
      <c r="A288"/>
      <c r="D288"/>
    </row>
    <row r="289" spans="1:4">
      <c r="A289"/>
      <c r="D289"/>
    </row>
    <row r="290" spans="1:4">
      <c r="A290"/>
      <c r="D290"/>
    </row>
    <row r="291" spans="1:4">
      <c r="A291"/>
      <c r="D291"/>
    </row>
    <row r="292" spans="1:4">
      <c r="A292"/>
      <c r="D292"/>
    </row>
    <row r="293" spans="1:4">
      <c r="A293"/>
      <c r="D293"/>
    </row>
    <row r="294" spans="1:4">
      <c r="A294"/>
      <c r="D294"/>
    </row>
    <row r="295" spans="1:4">
      <c r="A295"/>
      <c r="D295"/>
    </row>
    <row r="296" spans="1:4">
      <c r="A296"/>
      <c r="D296"/>
    </row>
    <row r="297" spans="1:4">
      <c r="A297"/>
      <c r="D297"/>
    </row>
    <row r="298" spans="1:4">
      <c r="A298"/>
      <c r="D298"/>
    </row>
    <row r="299" spans="1:4">
      <c r="A299"/>
      <c r="D299"/>
    </row>
    <row r="300" spans="1:4">
      <c r="A300"/>
      <c r="D300"/>
    </row>
    <row r="301" spans="1:4">
      <c r="A301"/>
      <c r="D301"/>
    </row>
    <row r="302" spans="1:4">
      <c r="A302"/>
      <c r="D302"/>
    </row>
    <row r="303" spans="1:4">
      <c r="A303"/>
      <c r="D303"/>
    </row>
    <row r="304" spans="1:4">
      <c r="A304"/>
      <c r="D304"/>
    </row>
    <row r="305" spans="1:4">
      <c r="A305"/>
      <c r="D305"/>
    </row>
    <row r="306" spans="1:4">
      <c r="A306"/>
      <c r="D306"/>
    </row>
    <row r="307" spans="1:4">
      <c r="A307"/>
      <c r="D307"/>
    </row>
    <row r="308" spans="1:4">
      <c r="A308"/>
      <c r="D308"/>
    </row>
    <row r="309" spans="1:4">
      <c r="A309"/>
      <c r="D309"/>
    </row>
    <row r="310" spans="1:4">
      <c r="A310"/>
      <c r="D310"/>
    </row>
    <row r="311" spans="1:4">
      <c r="A311"/>
      <c r="D311"/>
    </row>
    <row r="312" spans="1:4">
      <c r="A312"/>
      <c r="D312"/>
    </row>
    <row r="313" spans="1:4">
      <c r="A313"/>
      <c r="D313"/>
    </row>
    <row r="314" spans="1:4">
      <c r="A314"/>
      <c r="D314"/>
    </row>
    <row r="315" spans="1:4">
      <c r="A315"/>
      <c r="D315"/>
    </row>
    <row r="316" spans="1:4">
      <c r="A316"/>
      <c r="D316"/>
    </row>
    <row r="317" spans="1:4">
      <c r="A317"/>
      <c r="D317"/>
    </row>
    <row r="318" spans="1:4">
      <c r="A318"/>
      <c r="D318"/>
    </row>
    <row r="319" spans="1:4">
      <c r="A319"/>
      <c r="D319"/>
    </row>
    <row r="320" spans="1:4">
      <c r="A320"/>
      <c r="D320"/>
    </row>
    <row r="321" spans="1:4">
      <c r="A321"/>
      <c r="D321"/>
    </row>
    <row r="322" spans="1:4">
      <c r="A322"/>
      <c r="D322"/>
    </row>
    <row r="323" spans="1:4">
      <c r="A323"/>
      <c r="D323"/>
    </row>
    <row r="324" spans="1:4">
      <c r="A324"/>
      <c r="D324"/>
    </row>
    <row r="325" spans="1:4">
      <c r="A325"/>
      <c r="D325"/>
    </row>
    <row r="326" spans="1:4">
      <c r="A326"/>
      <c r="D326"/>
    </row>
    <row r="327" spans="1:4">
      <c r="A327"/>
      <c r="D327"/>
    </row>
    <row r="328" spans="1:4">
      <c r="A328"/>
      <c r="D328"/>
    </row>
    <row r="329" spans="1:4">
      <c r="A329"/>
      <c r="D329"/>
    </row>
    <row r="330" spans="1:4">
      <c r="A330"/>
      <c r="D330"/>
    </row>
    <row r="331" spans="1:4">
      <c r="A331"/>
      <c r="D331"/>
    </row>
    <row r="332" spans="1:4">
      <c r="A332"/>
      <c r="D332"/>
    </row>
    <row r="333" spans="1:4">
      <c r="A333"/>
      <c r="D333"/>
    </row>
    <row r="334" spans="1:4">
      <c r="A334"/>
      <c r="D334"/>
    </row>
    <row r="335" spans="1:4">
      <c r="A335"/>
      <c r="D335"/>
    </row>
    <row r="336" spans="1:4">
      <c r="A336"/>
      <c r="D336"/>
    </row>
    <row r="337" spans="1:4">
      <c r="A337"/>
      <c r="D337"/>
    </row>
    <row r="338" spans="1:4">
      <c r="A338"/>
      <c r="D338"/>
    </row>
    <row r="339" spans="1:4">
      <c r="A339"/>
      <c r="D339"/>
    </row>
    <row r="340" spans="1:4">
      <c r="A340"/>
      <c r="D340"/>
    </row>
    <row r="341" spans="1:4">
      <c r="A341"/>
      <c r="D341"/>
    </row>
    <row r="342" spans="1:4">
      <c r="A342"/>
      <c r="D342"/>
    </row>
    <row r="343" spans="1:4">
      <c r="A343"/>
      <c r="D343"/>
    </row>
    <row r="344" spans="1:4">
      <c r="A344"/>
      <c r="D344"/>
    </row>
    <row r="345" spans="1:4">
      <c r="A345"/>
      <c r="D345"/>
    </row>
    <row r="346" spans="1:4">
      <c r="A346"/>
      <c r="D346"/>
    </row>
    <row r="347" spans="1:4">
      <c r="A347"/>
      <c r="D347"/>
    </row>
    <row r="348" spans="1:4">
      <c r="A348"/>
      <c r="D348"/>
    </row>
    <row r="349" spans="1:4">
      <c r="A349"/>
      <c r="D349"/>
    </row>
    <row r="350" spans="1:4">
      <c r="A350"/>
      <c r="D350"/>
    </row>
    <row r="351" spans="1:4">
      <c r="A351"/>
      <c r="D351"/>
    </row>
    <row r="352" spans="1:4">
      <c r="A352"/>
      <c r="D352"/>
    </row>
    <row r="353" spans="1:4">
      <c r="A353"/>
      <c r="D353"/>
    </row>
    <row r="354" spans="1:4">
      <c r="A354"/>
      <c r="D354"/>
    </row>
    <row r="355" spans="1:4">
      <c r="A355"/>
      <c r="D355"/>
    </row>
    <row r="356" spans="1:4">
      <c r="A356"/>
      <c r="D356"/>
    </row>
    <row r="357" spans="1:4">
      <c r="A357"/>
      <c r="D357"/>
    </row>
    <row r="358" spans="1:4">
      <c r="A358"/>
      <c r="D358"/>
    </row>
    <row r="359" spans="1:4">
      <c r="A359"/>
      <c r="D359"/>
    </row>
    <row r="360" spans="1:4">
      <c r="A360"/>
      <c r="D360"/>
    </row>
    <row r="361" spans="1:4">
      <c r="A361"/>
      <c r="D361"/>
    </row>
    <row r="362" spans="1:4">
      <c r="A362"/>
      <c r="D362"/>
    </row>
    <row r="363" spans="1:4">
      <c r="A363"/>
      <c r="D363"/>
    </row>
    <row r="364" spans="1:4">
      <c r="A364"/>
      <c r="D364"/>
    </row>
    <row r="365" spans="1:4">
      <c r="A365"/>
      <c r="D365"/>
    </row>
    <row r="366" spans="1:4">
      <c r="A366"/>
      <c r="D366"/>
    </row>
    <row r="367" spans="1:4">
      <c r="A367"/>
      <c r="D367"/>
    </row>
    <row r="368" spans="1:4">
      <c r="A368"/>
      <c r="D368"/>
    </row>
    <row r="369" spans="1:4">
      <c r="A369"/>
      <c r="D369"/>
    </row>
    <row r="370" spans="1:4">
      <c r="A370"/>
      <c r="D370"/>
    </row>
    <row r="371" spans="1:4">
      <c r="A371"/>
      <c r="D371"/>
    </row>
    <row r="372" spans="1:4">
      <c r="A372"/>
      <c r="D372"/>
    </row>
    <row r="373" spans="1:4">
      <c r="A373"/>
      <c r="D373"/>
    </row>
    <row r="374" spans="1:4">
      <c r="A374"/>
      <c r="D374"/>
    </row>
    <row r="375" spans="1:4">
      <c r="A375"/>
      <c r="D375"/>
    </row>
    <row r="376" spans="1:4">
      <c r="A376"/>
      <c r="D376"/>
    </row>
    <row r="377" spans="1:4">
      <c r="A377"/>
      <c r="D377"/>
    </row>
    <row r="378" spans="1:4">
      <c r="A378"/>
      <c r="D378"/>
    </row>
    <row r="379" spans="1:4">
      <c r="A379"/>
      <c r="D379"/>
    </row>
    <row r="380" spans="1:4">
      <c r="A380"/>
      <c r="D380"/>
    </row>
    <row r="381" spans="1:4">
      <c r="A381"/>
      <c r="D381"/>
    </row>
    <row r="382" spans="1:4">
      <c r="A382"/>
      <c r="D382"/>
    </row>
    <row r="383" spans="1:4">
      <c r="A383"/>
      <c r="D383"/>
    </row>
    <row r="384" spans="1:4">
      <c r="A384"/>
      <c r="D384"/>
    </row>
    <row r="385" spans="1:4">
      <c r="A385"/>
      <c r="D385"/>
    </row>
    <row r="386" spans="1:4">
      <c r="A386"/>
      <c r="D386"/>
    </row>
    <row r="387" spans="1:4">
      <c r="A387"/>
      <c r="D387"/>
    </row>
    <row r="388" spans="1:4">
      <c r="A388"/>
      <c r="D388"/>
    </row>
    <row r="389" spans="1:4">
      <c r="A389"/>
      <c r="D389"/>
    </row>
    <row r="390" spans="1:4">
      <c r="A390"/>
      <c r="D390"/>
    </row>
    <row r="391" spans="1:4">
      <c r="A391"/>
      <c r="D391"/>
    </row>
    <row r="392" spans="1:4">
      <c r="A392"/>
      <c r="D392"/>
    </row>
    <row r="393" spans="1:4">
      <c r="A393"/>
      <c r="D393"/>
    </row>
    <row r="394" spans="1:4">
      <c r="A394"/>
      <c r="D394"/>
    </row>
    <row r="395" spans="1:4">
      <c r="A395"/>
      <c r="D395"/>
    </row>
    <row r="396" spans="1:4">
      <c r="A396"/>
      <c r="D396"/>
    </row>
    <row r="397" spans="1:4">
      <c r="A397"/>
      <c r="D397"/>
    </row>
    <row r="398" spans="1:4">
      <c r="A398"/>
      <c r="D398"/>
    </row>
    <row r="399" spans="1:4">
      <c r="A399"/>
      <c r="D399"/>
    </row>
    <row r="400" spans="1:4">
      <c r="A400"/>
      <c r="D400"/>
    </row>
    <row r="401" spans="1:4">
      <c r="A401"/>
      <c r="D401"/>
    </row>
    <row r="402" spans="1:4">
      <c r="A402"/>
      <c r="D402"/>
    </row>
    <row r="403" spans="1:4">
      <c r="A403"/>
      <c r="D403"/>
    </row>
    <row r="404" spans="1:4">
      <c r="A404"/>
      <c r="D404"/>
    </row>
    <row r="405" spans="1:4">
      <c r="A405"/>
      <c r="D405"/>
    </row>
    <row r="406" spans="1:4">
      <c r="A406"/>
      <c r="D406"/>
    </row>
    <row r="407" spans="1:4">
      <c r="A407"/>
      <c r="D407"/>
    </row>
    <row r="408" spans="1:4">
      <c r="A408"/>
      <c r="D408"/>
    </row>
    <row r="409" spans="1:4">
      <c r="A409"/>
      <c r="D409"/>
    </row>
    <row r="410" spans="1:4">
      <c r="A410"/>
      <c r="D410"/>
    </row>
    <row r="411" spans="1:4">
      <c r="A411"/>
      <c r="D411"/>
    </row>
    <row r="412" spans="1:4">
      <c r="A412"/>
      <c r="D412"/>
    </row>
    <row r="413" spans="1:4">
      <c r="A413"/>
      <c r="D413"/>
    </row>
    <row r="414" spans="1:4">
      <c r="A414"/>
      <c r="D414"/>
    </row>
    <row r="415" spans="1:4">
      <c r="A415"/>
      <c r="D415"/>
    </row>
    <row r="416" spans="1:4">
      <c r="A416"/>
      <c r="D416"/>
    </row>
    <row r="417" spans="1:4">
      <c r="A417"/>
      <c r="D417"/>
    </row>
    <row r="418" spans="1:4">
      <c r="A418"/>
      <c r="D418"/>
    </row>
    <row r="419" spans="1:4">
      <c r="A419"/>
      <c r="D419"/>
    </row>
    <row r="420" spans="1:4">
      <c r="A420"/>
      <c r="D420"/>
    </row>
    <row r="421" spans="1:4">
      <c r="A421"/>
      <c r="D421"/>
    </row>
    <row r="422" spans="1:4">
      <c r="A422"/>
      <c r="D422"/>
    </row>
    <row r="423" spans="1:4">
      <c r="A423"/>
      <c r="D423"/>
    </row>
    <row r="424" spans="1:4">
      <c r="A424"/>
      <c r="D424"/>
    </row>
    <row r="425" spans="1:4">
      <c r="A425"/>
      <c r="D425"/>
    </row>
    <row r="426" spans="1:4">
      <c r="A426"/>
      <c r="D426"/>
    </row>
    <row r="427" spans="1:4">
      <c r="A427"/>
      <c r="D427"/>
    </row>
    <row r="428" spans="1:4">
      <c r="A428"/>
      <c r="D428"/>
    </row>
    <row r="429" spans="1:4">
      <c r="A429"/>
      <c r="D429"/>
    </row>
    <row r="430" spans="1:4">
      <c r="A430"/>
      <c r="D430"/>
    </row>
    <row r="431" spans="1:4">
      <c r="A431"/>
      <c r="D431"/>
    </row>
    <row r="432" spans="1:4">
      <c r="A432"/>
      <c r="D432"/>
    </row>
    <row r="433" spans="1:4">
      <c r="A433"/>
      <c r="D433"/>
    </row>
    <row r="434" spans="1:4">
      <c r="A434"/>
      <c r="D434"/>
    </row>
    <row r="435" spans="1:4">
      <c r="A435"/>
      <c r="D435"/>
    </row>
    <row r="436" spans="1:4">
      <c r="A436"/>
      <c r="D436"/>
    </row>
    <row r="437" spans="1:4">
      <c r="A437"/>
      <c r="D437"/>
    </row>
    <row r="438" spans="1:4">
      <c r="A438"/>
      <c r="D438"/>
    </row>
    <row r="439" spans="1:4">
      <c r="A439"/>
      <c r="D439"/>
    </row>
    <row r="440" spans="1:4">
      <c r="A440"/>
      <c r="D440"/>
    </row>
    <row r="441" spans="1:4">
      <c r="A441"/>
      <c r="D441"/>
    </row>
    <row r="442" spans="1:4">
      <c r="A442"/>
      <c r="D442"/>
    </row>
    <row r="443" spans="1:4">
      <c r="A443"/>
      <c r="D443"/>
    </row>
    <row r="444" spans="1:4">
      <c r="A444"/>
      <c r="D444"/>
    </row>
    <row r="445" spans="1:4">
      <c r="A445"/>
      <c r="D445"/>
    </row>
    <row r="446" spans="1:4">
      <c r="A446"/>
      <c r="D446"/>
    </row>
    <row r="447" spans="1:4">
      <c r="A447"/>
      <c r="D447"/>
    </row>
    <row r="448" spans="1:4">
      <c r="A448"/>
      <c r="D448"/>
    </row>
    <row r="449" spans="1:4">
      <c r="A449"/>
      <c r="D449"/>
    </row>
    <row r="450" spans="1:4">
      <c r="A450"/>
      <c r="D450"/>
    </row>
    <row r="451" spans="1:4">
      <c r="A451"/>
      <c r="D451"/>
    </row>
    <row r="452" spans="1:4">
      <c r="A452"/>
      <c r="D452"/>
    </row>
    <row r="453" spans="1:4">
      <c r="A453"/>
      <c r="D453"/>
    </row>
    <row r="454" spans="1:4">
      <c r="A454"/>
      <c r="D454"/>
    </row>
    <row r="455" spans="1:4">
      <c r="A455"/>
      <c r="D455"/>
    </row>
    <row r="456" spans="1:4">
      <c r="A456"/>
      <c r="D456"/>
    </row>
    <row r="457" spans="1:4">
      <c r="A457"/>
      <c r="D457"/>
    </row>
    <row r="458" spans="1:4">
      <c r="A458"/>
      <c r="D458"/>
    </row>
    <row r="459" spans="1:4">
      <c r="A459"/>
      <c r="D459"/>
    </row>
    <row r="460" spans="1:4">
      <c r="A460"/>
      <c r="D460"/>
    </row>
    <row r="461" spans="1:4">
      <c r="A461"/>
      <c r="D461"/>
    </row>
    <row r="462" spans="1:4">
      <c r="A462"/>
      <c r="D462"/>
    </row>
    <row r="463" spans="1:4">
      <c r="A463"/>
      <c r="D463"/>
    </row>
    <row r="464" spans="1:4">
      <c r="A464"/>
      <c r="D464"/>
    </row>
    <row r="465" spans="1:4">
      <c r="A465"/>
      <c r="D465"/>
    </row>
    <row r="466" spans="1:4">
      <c r="A466"/>
      <c r="D466"/>
    </row>
    <row r="467" spans="1:4">
      <c r="A467"/>
      <c r="D467"/>
    </row>
    <row r="468" spans="1:4">
      <c r="A468"/>
      <c r="D468"/>
    </row>
    <row r="469" spans="1:4">
      <c r="A469"/>
      <c r="D469"/>
    </row>
    <row r="470" spans="1:4">
      <c r="A470"/>
      <c r="D470"/>
    </row>
    <row r="471" spans="1:4">
      <c r="A471"/>
      <c r="D471"/>
    </row>
    <row r="472" spans="1:4">
      <c r="A472"/>
      <c r="D472"/>
    </row>
    <row r="473" spans="1:4">
      <c r="A473"/>
      <c r="D473"/>
    </row>
    <row r="474" spans="1:4">
      <c r="A474"/>
      <c r="D474"/>
    </row>
    <row r="475" spans="1:4">
      <c r="A475"/>
      <c r="D475"/>
    </row>
    <row r="476" spans="1:4">
      <c r="A476"/>
      <c r="D476"/>
    </row>
    <row r="477" spans="1:4">
      <c r="A477"/>
      <c r="D477"/>
    </row>
    <row r="478" spans="1:4">
      <c r="A478"/>
      <c r="D478"/>
    </row>
    <row r="479" spans="1:4">
      <c r="A479"/>
      <c r="D479"/>
    </row>
    <row r="480" spans="1:4">
      <c r="A480"/>
      <c r="D480"/>
    </row>
    <row r="481" spans="1:4">
      <c r="A481"/>
      <c r="D481"/>
    </row>
    <row r="482" spans="1:4">
      <c r="A482"/>
      <c r="D482"/>
    </row>
    <row r="483" spans="1:4">
      <c r="A483"/>
      <c r="D483"/>
    </row>
    <row r="484" spans="1:4">
      <c r="A484"/>
      <c r="D484"/>
    </row>
    <row r="485" spans="1:4">
      <c r="A485"/>
      <c r="D485"/>
    </row>
    <row r="486" spans="1:4">
      <c r="A486"/>
      <c r="D486"/>
    </row>
    <row r="487" spans="1:4">
      <c r="A487"/>
      <c r="D487"/>
    </row>
    <row r="488" spans="1:4">
      <c r="A488"/>
      <c r="D488"/>
    </row>
    <row r="489" spans="1:4">
      <c r="A489"/>
      <c r="D489"/>
    </row>
    <row r="490" spans="1:4">
      <c r="A490"/>
      <c r="D490"/>
    </row>
    <row r="491" spans="1:4">
      <c r="A491"/>
      <c r="D491"/>
    </row>
    <row r="492" spans="1:4">
      <c r="A492"/>
      <c r="D492"/>
    </row>
    <row r="493" spans="1:4">
      <c r="A493"/>
      <c r="D493"/>
    </row>
    <row r="494" spans="1:4">
      <c r="A494"/>
      <c r="D494"/>
    </row>
    <row r="495" spans="1:4">
      <c r="A495"/>
      <c r="D495"/>
    </row>
    <row r="496" spans="1:4">
      <c r="A496"/>
      <c r="D496"/>
    </row>
    <row r="497" spans="1:4">
      <c r="A497"/>
      <c r="D497"/>
    </row>
    <row r="498" spans="1:4">
      <c r="A498"/>
      <c r="D498"/>
    </row>
    <row r="499" spans="1:4">
      <c r="A499"/>
      <c r="D499"/>
    </row>
    <row r="500" spans="1:4">
      <c r="A500"/>
      <c r="D500"/>
    </row>
    <row r="501" spans="1:4">
      <c r="A501"/>
      <c r="D501"/>
    </row>
    <row r="502" spans="1:4">
      <c r="A502"/>
      <c r="D502"/>
    </row>
    <row r="503" spans="1:4">
      <c r="A503"/>
      <c r="D503"/>
    </row>
    <row r="504" spans="1:4">
      <c r="A504"/>
      <c r="D504"/>
    </row>
    <row r="505" spans="1:4">
      <c r="A505"/>
      <c r="D505"/>
    </row>
    <row r="506" spans="1:4">
      <c r="A506"/>
      <c r="D506"/>
    </row>
    <row r="507" spans="1:4">
      <c r="A507"/>
      <c r="D507"/>
    </row>
    <row r="508" spans="1:4">
      <c r="A508"/>
      <c r="D508"/>
    </row>
    <row r="509" spans="1:4">
      <c r="A509"/>
      <c r="D509"/>
    </row>
    <row r="510" spans="1:4">
      <c r="A510"/>
      <c r="D510"/>
    </row>
    <row r="511" spans="1:4">
      <c r="A511"/>
      <c r="D511"/>
    </row>
    <row r="512" spans="1:4">
      <c r="A512"/>
      <c r="D512"/>
    </row>
    <row r="513" spans="1:4">
      <c r="A513"/>
      <c r="D513"/>
    </row>
    <row r="514" spans="1:4">
      <c r="A514"/>
      <c r="D514"/>
    </row>
    <row r="515" spans="1:4">
      <c r="A515"/>
      <c r="D515"/>
    </row>
    <row r="516" spans="1:4">
      <c r="A516"/>
      <c r="D516"/>
    </row>
    <row r="517" spans="1:4">
      <c r="A517"/>
      <c r="D517"/>
    </row>
    <row r="518" spans="1:4">
      <c r="A518"/>
      <c r="D518"/>
    </row>
    <row r="519" spans="1:4">
      <c r="A519"/>
      <c r="D519"/>
    </row>
    <row r="520" spans="1:4">
      <c r="A520"/>
      <c r="D520"/>
    </row>
    <row r="521" spans="1:4">
      <c r="A521"/>
      <c r="D521"/>
    </row>
    <row r="522" spans="1:4">
      <c r="A522"/>
      <c r="D522"/>
    </row>
    <row r="523" spans="1:4">
      <c r="A523"/>
      <c r="D523"/>
    </row>
    <row r="524" spans="1:4">
      <c r="A524"/>
      <c r="D524"/>
    </row>
    <row r="525" spans="1:4">
      <c r="A525"/>
      <c r="D525"/>
    </row>
    <row r="526" spans="1:4">
      <c r="A526"/>
      <c r="D526"/>
    </row>
    <row r="527" spans="1:4">
      <c r="A527"/>
      <c r="D527"/>
    </row>
    <row r="528" spans="1:4">
      <c r="A528"/>
      <c r="D528"/>
    </row>
    <row r="529" spans="1:4">
      <c r="A529"/>
      <c r="D529"/>
    </row>
    <row r="530" spans="1:4">
      <c r="A530"/>
      <c r="D530"/>
    </row>
    <row r="531" spans="1:4">
      <c r="A531"/>
      <c r="D531"/>
    </row>
    <row r="532" spans="1:4">
      <c r="A532"/>
      <c r="D532"/>
    </row>
    <row r="533" spans="1:4">
      <c r="A533"/>
      <c r="D533"/>
    </row>
    <row r="534" spans="1:4">
      <c r="A534"/>
      <c r="D534"/>
    </row>
    <row r="535" spans="1:4">
      <c r="A535"/>
      <c r="D535"/>
    </row>
    <row r="536" spans="1:4">
      <c r="A536"/>
      <c r="D536"/>
    </row>
    <row r="537" spans="1:4">
      <c r="A537"/>
      <c r="D537"/>
    </row>
    <row r="538" spans="1:4">
      <c r="A538"/>
      <c r="D538"/>
    </row>
    <row r="539" spans="1:4">
      <c r="A539"/>
      <c r="D539"/>
    </row>
    <row r="540" spans="1:4">
      <c r="A540"/>
      <c r="D540"/>
    </row>
    <row r="541" spans="1:4">
      <c r="A541"/>
      <c r="D541"/>
    </row>
    <row r="542" spans="1:4">
      <c r="A542"/>
      <c r="D542"/>
    </row>
    <row r="543" spans="1:4">
      <c r="A543"/>
      <c r="D543"/>
    </row>
    <row r="544" spans="1:4">
      <c r="A544"/>
      <c r="D544"/>
    </row>
    <row r="545" spans="1:4">
      <c r="A545"/>
      <c r="D545"/>
    </row>
    <row r="546" spans="1:4">
      <c r="A546"/>
      <c r="D546"/>
    </row>
    <row r="547" spans="1:4">
      <c r="A547"/>
      <c r="D547"/>
    </row>
    <row r="548" spans="1:4">
      <c r="A548"/>
      <c r="D548"/>
    </row>
    <row r="549" spans="1:4">
      <c r="A549"/>
      <c r="D549"/>
    </row>
    <row r="550" spans="1:4">
      <c r="A550"/>
      <c r="D550"/>
    </row>
    <row r="551" spans="1:4">
      <c r="A551"/>
      <c r="D551"/>
    </row>
    <row r="552" spans="1:4">
      <c r="A552"/>
      <c r="D552"/>
    </row>
    <row r="553" spans="1:4">
      <c r="A553"/>
      <c r="D553"/>
    </row>
    <row r="554" spans="1:4">
      <c r="A554"/>
      <c r="D554"/>
    </row>
    <row r="555" spans="1:4">
      <c r="A555"/>
      <c r="D555"/>
    </row>
    <row r="556" spans="1:4">
      <c r="A556"/>
      <c r="D556"/>
    </row>
    <row r="557" spans="1:4">
      <c r="A557"/>
      <c r="D557"/>
    </row>
    <row r="558" spans="1:4">
      <c r="A558"/>
      <c r="D558"/>
    </row>
    <row r="559" spans="1:4">
      <c r="A559"/>
      <c r="D559"/>
    </row>
    <row r="560" spans="1:4">
      <c r="A560"/>
      <c r="D560"/>
    </row>
    <row r="561" spans="1:4">
      <c r="A561"/>
      <c r="D561"/>
    </row>
    <row r="562" spans="1:4">
      <c r="A562"/>
      <c r="D562"/>
    </row>
  </sheetData>
  <mergeCells count="7">
    <mergeCell ref="B7:D7"/>
    <mergeCell ref="B6:D6"/>
    <mergeCell ref="A1:D1"/>
    <mergeCell ref="B2:D2"/>
    <mergeCell ref="B3:D3"/>
    <mergeCell ref="B4:D4"/>
    <mergeCell ref="B5:D5"/>
  </mergeCells>
  <pageMargins left="0.70866141732283472" right="0.70866141732283472" top="0.74803149606299213" bottom="0.74803149606299213" header="0.31496062992125984" footer="0.31496062992125984"/>
  <pageSetup paperSize="9" scale="98" orientation="portrait" r:id="rId1"/>
  <rowBreaks count="15" manualBreakCount="15">
    <brk id="49" max="3" man="1"/>
    <brk id="89" max="3" man="1"/>
    <brk id="130" max="3" man="1"/>
    <brk id="175" max="3" man="1"/>
    <brk id="218" max="3" man="1"/>
    <brk id="261" max="3" man="1"/>
    <brk id="303" max="3" man="1"/>
    <brk id="345" max="3" man="1"/>
    <brk id="387" max="3" man="1"/>
    <brk id="430" max="3" man="1"/>
    <brk id="472" max="3" man="1"/>
    <brk id="514" max="3" man="1"/>
    <brk id="556" max="3" man="1"/>
    <brk id="598" max="3" man="1"/>
    <brk id="640" max="3" man="1"/>
  </rowBreaks>
  <drawing r:id="rId2"/>
</worksheet>
</file>

<file path=xl/worksheets/sheet7.xml><?xml version="1.0" encoding="utf-8"?>
<worksheet xmlns="http://schemas.openxmlformats.org/spreadsheetml/2006/main" xmlns:r="http://schemas.openxmlformats.org/officeDocument/2006/relationships">
  <dimension ref="A1:D7"/>
  <sheetViews>
    <sheetView zoomScaleNormal="100" workbookViewId="0">
      <selection activeCell="G145" sqref="G145"/>
    </sheetView>
  </sheetViews>
  <sheetFormatPr defaultRowHeight="15"/>
  <cols>
    <col min="1" max="1" width="25.7109375" style="1" customWidth="1"/>
    <col min="2" max="3" width="21.7109375" customWidth="1"/>
    <col min="4" max="4" width="21.7109375" style="9"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71" t="str">
        <f>'Survey Tool'!B5:C5</f>
        <v>Quarter 2 2018</v>
      </c>
      <c r="C5" s="71"/>
      <c r="D5" s="72"/>
    </row>
    <row r="6" spans="1:4">
      <c r="A6" s="4" t="str">
        <f>'Survey Tool'!A6</f>
        <v>No in Survey</v>
      </c>
      <c r="B6" s="66">
        <f>'Survey Tool'!B6:C6</f>
        <v>6</v>
      </c>
      <c r="C6" s="66"/>
      <c r="D6" s="62"/>
    </row>
    <row r="7" spans="1:4">
      <c r="A7" s="4" t="str">
        <f>'Survey Tool'!A7</f>
        <v>No of Residents</v>
      </c>
      <c r="B7" s="66">
        <f>'Survey Tool'!B7:C7</f>
        <v>8</v>
      </c>
      <c r="C7" s="66"/>
      <c r="D7" s="62"/>
    </row>
  </sheetData>
  <mergeCells count="7">
    <mergeCell ref="B7:D7"/>
    <mergeCell ref="A1:D1"/>
    <mergeCell ref="B2:D2"/>
    <mergeCell ref="B3:D3"/>
    <mergeCell ref="B4:D4"/>
    <mergeCell ref="B5:D5"/>
    <mergeCell ref="B6:D6"/>
  </mergeCells>
  <pageMargins left="0.70866141732283472" right="0.31496062992125984" top="0.74803149606299213" bottom="0.35433070866141736" header="0.31496062992125984" footer="0.31496062992125984"/>
  <pageSetup paperSize="9" scale="91" orientation="portrait" r:id="rId1"/>
  <rowBreaks count="4" manualBreakCount="4">
    <brk id="55" max="3" man="1"/>
    <brk id="103" max="3" man="1"/>
    <brk id="152" max="3" man="1"/>
    <brk id="201" max="3" man="1"/>
  </rowBreaks>
  <drawing r:id="rId2"/>
</worksheet>
</file>

<file path=xl/worksheets/sheet8.xml><?xml version="1.0" encoding="utf-8"?>
<worksheet xmlns="http://schemas.openxmlformats.org/spreadsheetml/2006/main" xmlns:r="http://schemas.openxmlformats.org/officeDocument/2006/relationships">
  <dimension ref="A1:D400"/>
  <sheetViews>
    <sheetView zoomScaleNormal="100" workbookViewId="0">
      <selection activeCell="A176" sqref="A176:D205"/>
    </sheetView>
  </sheetViews>
  <sheetFormatPr defaultRowHeight="15"/>
  <cols>
    <col min="1" max="1" width="25.7109375" style="1" customWidth="1"/>
    <col min="2" max="3" width="19.7109375" customWidth="1"/>
    <col min="4" max="4" width="19.7109375" style="9"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71" t="str">
        <f>'Survey Tool'!B5:C5</f>
        <v>Quarter 2 2018</v>
      </c>
      <c r="C5" s="71"/>
      <c r="D5" s="72"/>
    </row>
    <row r="6" spans="1:4">
      <c r="A6" s="4" t="str">
        <f>'Survey Tool'!A6</f>
        <v>No in Survey</v>
      </c>
      <c r="B6" s="66">
        <f>'Survey Tool'!B6:C6</f>
        <v>6</v>
      </c>
      <c r="C6" s="66"/>
      <c r="D6" s="62"/>
    </row>
    <row r="9" spans="1:4" ht="29.25" customHeight="1">
      <c r="A9" s="61" t="s">
        <v>183</v>
      </c>
      <c r="B9" s="61"/>
      <c r="C9" s="61"/>
      <c r="D9" s="77"/>
    </row>
    <row r="10" spans="1:4">
      <c r="A10" s="78"/>
      <c r="B10" s="79"/>
      <c r="C10" s="79"/>
      <c r="D10" s="80"/>
    </row>
    <row r="11" spans="1:4">
      <c r="A11" s="78"/>
      <c r="B11" s="79"/>
      <c r="C11" s="79"/>
      <c r="D11" s="80"/>
    </row>
    <row r="12" spans="1:4">
      <c r="A12" s="78"/>
      <c r="B12" s="79"/>
      <c r="C12" s="79"/>
      <c r="D12" s="80"/>
    </row>
    <row r="13" spans="1:4">
      <c r="A13" s="78"/>
      <c r="B13" s="79"/>
      <c r="C13" s="79"/>
      <c r="D13" s="80"/>
    </row>
    <row r="14" spans="1:4">
      <c r="A14" s="78"/>
      <c r="B14" s="79"/>
      <c r="C14" s="79"/>
      <c r="D14" s="80"/>
    </row>
    <row r="15" spans="1:4">
      <c r="A15" s="78"/>
      <c r="B15" s="79"/>
      <c r="C15" s="79"/>
      <c r="D15" s="80"/>
    </row>
    <row r="16" spans="1:4">
      <c r="A16" s="78"/>
      <c r="B16" s="79"/>
      <c r="C16" s="79"/>
      <c r="D16" s="80"/>
    </row>
    <row r="17" spans="1:4">
      <c r="A17" s="78"/>
      <c r="B17" s="79"/>
      <c r="C17" s="79"/>
      <c r="D17" s="80"/>
    </row>
    <row r="18" spans="1:4">
      <c r="A18" s="78"/>
      <c r="B18" s="79"/>
      <c r="C18" s="79"/>
      <c r="D18" s="80"/>
    </row>
    <row r="19" spans="1:4">
      <c r="A19" s="78"/>
      <c r="B19" s="79"/>
      <c r="C19" s="79"/>
      <c r="D19" s="80"/>
    </row>
    <row r="20" spans="1:4" ht="15" customHeight="1">
      <c r="A20" s="78"/>
      <c r="B20" s="79"/>
      <c r="C20" s="79"/>
      <c r="D20" s="80"/>
    </row>
    <row r="21" spans="1:4">
      <c r="A21" s="78"/>
      <c r="B21" s="79"/>
      <c r="C21" s="79"/>
      <c r="D21" s="80"/>
    </row>
    <row r="22" spans="1:4">
      <c r="A22" s="78"/>
      <c r="B22" s="79"/>
      <c r="C22" s="79"/>
      <c r="D22" s="80"/>
    </row>
    <row r="23" spans="1:4">
      <c r="A23" s="78"/>
      <c r="B23" s="79"/>
      <c r="C23" s="79"/>
      <c r="D23" s="80"/>
    </row>
    <row r="24" spans="1:4">
      <c r="A24" s="78"/>
      <c r="B24" s="79"/>
      <c r="C24" s="79"/>
      <c r="D24" s="80"/>
    </row>
    <row r="25" spans="1:4">
      <c r="A25" s="78"/>
      <c r="B25" s="79"/>
      <c r="C25" s="79"/>
      <c r="D25" s="80"/>
    </row>
    <row r="26" spans="1:4" ht="15" customHeight="1">
      <c r="A26" s="78"/>
      <c r="B26" s="79"/>
      <c r="C26" s="79"/>
      <c r="D26" s="80"/>
    </row>
    <row r="27" spans="1:4" ht="15" customHeight="1">
      <c r="A27" s="78"/>
      <c r="B27" s="79"/>
      <c r="C27" s="79"/>
      <c r="D27" s="80"/>
    </row>
    <row r="28" spans="1:4" ht="15" customHeight="1">
      <c r="A28" s="78"/>
      <c r="B28" s="79"/>
      <c r="C28" s="79"/>
      <c r="D28" s="80"/>
    </row>
    <row r="29" spans="1:4" ht="15" customHeight="1">
      <c r="A29" s="78"/>
      <c r="B29" s="79"/>
      <c r="C29" s="79"/>
      <c r="D29" s="80"/>
    </row>
    <row r="30" spans="1:4" ht="15" customHeight="1">
      <c r="A30" s="78"/>
      <c r="B30" s="79"/>
      <c r="C30" s="79"/>
      <c r="D30" s="80"/>
    </row>
    <row r="31" spans="1:4" ht="15" customHeight="1">
      <c r="A31" s="78"/>
      <c r="B31" s="79"/>
      <c r="C31" s="79"/>
      <c r="D31" s="80"/>
    </row>
    <row r="32" spans="1:4" ht="15" customHeight="1">
      <c r="A32" s="78"/>
      <c r="B32" s="79"/>
      <c r="C32" s="79"/>
      <c r="D32" s="80"/>
    </row>
    <row r="33" spans="1:4" ht="15" customHeight="1">
      <c r="A33" s="78"/>
      <c r="B33" s="79"/>
      <c r="C33" s="79"/>
      <c r="D33" s="80"/>
    </row>
    <row r="34" spans="1:4" ht="15" customHeight="1">
      <c r="A34" s="78"/>
      <c r="B34" s="79"/>
      <c r="C34" s="79"/>
      <c r="D34" s="80"/>
    </row>
    <row r="35" spans="1:4">
      <c r="A35" s="78"/>
      <c r="B35" s="79"/>
      <c r="C35" s="79"/>
      <c r="D35" s="80"/>
    </row>
    <row r="36" spans="1:4">
      <c r="A36" s="78"/>
      <c r="B36" s="79"/>
      <c r="C36" s="79"/>
      <c r="D36" s="80"/>
    </row>
    <row r="37" spans="1:4">
      <c r="A37" s="78"/>
      <c r="B37" s="79"/>
      <c r="C37" s="79"/>
      <c r="D37" s="80"/>
    </row>
    <row r="38" spans="1:4">
      <c r="A38" s="78"/>
      <c r="B38" s="79"/>
      <c r="C38" s="79"/>
      <c r="D38" s="80"/>
    </row>
    <row r="39" spans="1:4">
      <c r="A39" s="67"/>
      <c r="B39" s="76"/>
      <c r="C39" s="76"/>
      <c r="D39" s="60"/>
    </row>
    <row r="42" spans="1:4" ht="31.5" customHeight="1">
      <c r="A42" s="61" t="s">
        <v>184</v>
      </c>
      <c r="B42" s="61"/>
      <c r="C42" s="61"/>
      <c r="D42" s="77"/>
    </row>
    <row r="43" spans="1:4">
      <c r="A43" s="78"/>
      <c r="B43" s="79"/>
      <c r="C43" s="79"/>
      <c r="D43" s="80"/>
    </row>
    <row r="44" spans="1:4">
      <c r="A44" s="78"/>
      <c r="B44" s="79"/>
      <c r="C44" s="79"/>
      <c r="D44" s="80"/>
    </row>
    <row r="45" spans="1:4">
      <c r="A45" s="78"/>
      <c r="B45" s="79"/>
      <c r="C45" s="79"/>
      <c r="D45" s="80"/>
    </row>
    <row r="46" spans="1:4">
      <c r="A46" s="78"/>
      <c r="B46" s="79"/>
      <c r="C46" s="79"/>
      <c r="D46" s="80"/>
    </row>
    <row r="47" spans="1:4">
      <c r="A47" s="78"/>
      <c r="B47" s="79"/>
      <c r="C47" s="79"/>
      <c r="D47" s="80"/>
    </row>
    <row r="48" spans="1:4">
      <c r="A48" s="78"/>
      <c r="B48" s="79"/>
      <c r="C48" s="79"/>
      <c r="D48" s="80"/>
    </row>
    <row r="49" spans="1:4">
      <c r="A49" s="78"/>
      <c r="B49" s="79"/>
      <c r="C49" s="79"/>
      <c r="D49" s="80"/>
    </row>
    <row r="50" spans="1:4">
      <c r="A50" s="78"/>
      <c r="B50" s="79"/>
      <c r="C50" s="79"/>
      <c r="D50" s="80"/>
    </row>
    <row r="51" spans="1:4">
      <c r="A51" s="78"/>
      <c r="B51" s="79"/>
      <c r="C51" s="79"/>
      <c r="D51" s="80"/>
    </row>
    <row r="52" spans="1:4">
      <c r="A52" s="78"/>
      <c r="B52" s="79"/>
      <c r="C52" s="79"/>
      <c r="D52" s="80"/>
    </row>
    <row r="53" spans="1:4">
      <c r="A53" s="78"/>
      <c r="B53" s="79"/>
      <c r="C53" s="79"/>
      <c r="D53" s="80"/>
    </row>
    <row r="54" spans="1:4">
      <c r="A54" s="78"/>
      <c r="B54" s="79"/>
      <c r="C54" s="79"/>
      <c r="D54" s="80"/>
    </row>
    <row r="55" spans="1:4" s="1" customFormat="1" ht="29.25" customHeight="1">
      <c r="A55" s="78"/>
      <c r="B55" s="79"/>
      <c r="C55" s="79"/>
      <c r="D55" s="80"/>
    </row>
    <row r="56" spans="1:4">
      <c r="A56" s="78"/>
      <c r="B56" s="79"/>
      <c r="C56" s="79"/>
      <c r="D56" s="80"/>
    </row>
    <row r="57" spans="1:4">
      <c r="A57" s="78"/>
      <c r="B57" s="79"/>
      <c r="C57" s="79"/>
      <c r="D57" s="80"/>
    </row>
    <row r="58" spans="1:4">
      <c r="A58" s="78"/>
      <c r="B58" s="79"/>
      <c r="C58" s="79"/>
      <c r="D58" s="80"/>
    </row>
    <row r="59" spans="1:4">
      <c r="A59" s="78"/>
      <c r="B59" s="79"/>
      <c r="C59" s="79"/>
      <c r="D59" s="80"/>
    </row>
    <row r="60" spans="1:4">
      <c r="A60" s="78"/>
      <c r="B60" s="79"/>
      <c r="C60" s="79"/>
      <c r="D60" s="80"/>
    </row>
    <row r="61" spans="1:4">
      <c r="A61" s="78"/>
      <c r="B61" s="79"/>
      <c r="C61" s="79"/>
      <c r="D61" s="80"/>
    </row>
    <row r="62" spans="1:4">
      <c r="A62" s="78"/>
      <c r="B62" s="79"/>
      <c r="C62" s="79"/>
      <c r="D62" s="80"/>
    </row>
    <row r="63" spans="1:4">
      <c r="A63" s="78"/>
      <c r="B63" s="79"/>
      <c r="C63" s="79"/>
      <c r="D63" s="80"/>
    </row>
    <row r="64" spans="1:4">
      <c r="A64" s="78"/>
      <c r="B64" s="79"/>
      <c r="C64" s="79"/>
      <c r="D64" s="80"/>
    </row>
    <row r="65" spans="1:4">
      <c r="A65" s="78"/>
      <c r="B65" s="79"/>
      <c r="C65" s="79"/>
      <c r="D65" s="80"/>
    </row>
    <row r="66" spans="1:4">
      <c r="A66" s="78"/>
      <c r="B66" s="79"/>
      <c r="C66" s="79"/>
      <c r="D66" s="80"/>
    </row>
    <row r="67" spans="1:4">
      <c r="A67" s="78"/>
      <c r="B67" s="79"/>
      <c r="C67" s="79"/>
      <c r="D67" s="80"/>
    </row>
    <row r="68" spans="1:4">
      <c r="A68" s="78"/>
      <c r="B68" s="79"/>
      <c r="C68" s="79"/>
      <c r="D68" s="80"/>
    </row>
    <row r="69" spans="1:4">
      <c r="A69" s="78"/>
      <c r="B69" s="79"/>
      <c r="C69" s="79"/>
      <c r="D69" s="80"/>
    </row>
    <row r="70" spans="1:4">
      <c r="A70" s="78"/>
      <c r="B70" s="79"/>
      <c r="C70" s="79"/>
      <c r="D70" s="80"/>
    </row>
    <row r="71" spans="1:4">
      <c r="A71" s="78"/>
      <c r="B71" s="79"/>
      <c r="C71" s="79"/>
      <c r="D71" s="80"/>
    </row>
    <row r="72" spans="1:4">
      <c r="A72" s="78"/>
      <c r="B72" s="79"/>
      <c r="C72" s="79"/>
      <c r="D72" s="80"/>
    </row>
    <row r="75" spans="1:4" ht="30.75" customHeight="1">
      <c r="A75" s="61" t="s">
        <v>185</v>
      </c>
      <c r="B75" s="61"/>
      <c r="C75" s="61"/>
      <c r="D75" s="77"/>
    </row>
    <row r="76" spans="1:4">
      <c r="A76" s="78"/>
      <c r="B76" s="79"/>
      <c r="C76" s="79"/>
      <c r="D76" s="80"/>
    </row>
    <row r="77" spans="1:4">
      <c r="A77" s="78"/>
      <c r="B77" s="79"/>
      <c r="C77" s="79"/>
      <c r="D77" s="80"/>
    </row>
    <row r="78" spans="1:4">
      <c r="A78" s="78"/>
      <c r="B78" s="79"/>
      <c r="C78" s="79"/>
      <c r="D78" s="80"/>
    </row>
    <row r="79" spans="1:4">
      <c r="A79" s="78"/>
      <c r="B79" s="79"/>
      <c r="C79" s="79"/>
      <c r="D79" s="80"/>
    </row>
    <row r="80" spans="1:4">
      <c r="A80" s="78"/>
      <c r="B80" s="79"/>
      <c r="C80" s="79"/>
      <c r="D80" s="80"/>
    </row>
    <row r="81" spans="1:4">
      <c r="A81" s="78"/>
      <c r="B81" s="79"/>
      <c r="C81" s="79"/>
      <c r="D81" s="80"/>
    </row>
    <row r="82" spans="1:4">
      <c r="A82" s="78"/>
      <c r="B82" s="79"/>
      <c r="C82" s="79"/>
      <c r="D82" s="80"/>
    </row>
    <row r="83" spans="1:4">
      <c r="A83" s="78"/>
      <c r="B83" s="79"/>
      <c r="C83" s="79"/>
      <c r="D83" s="80"/>
    </row>
    <row r="84" spans="1:4">
      <c r="A84" s="78"/>
      <c r="B84" s="79"/>
      <c r="C84" s="79"/>
      <c r="D84" s="80"/>
    </row>
    <row r="85" spans="1:4" ht="15" customHeight="1">
      <c r="A85" s="78"/>
      <c r="B85" s="79"/>
      <c r="C85" s="79"/>
      <c r="D85" s="80"/>
    </row>
    <row r="86" spans="1:4">
      <c r="A86" s="78"/>
      <c r="B86" s="79"/>
      <c r="C86" s="79"/>
      <c r="D86" s="80"/>
    </row>
    <row r="87" spans="1:4">
      <c r="A87" s="78"/>
      <c r="B87" s="79"/>
      <c r="C87" s="79"/>
      <c r="D87" s="80"/>
    </row>
    <row r="88" spans="1:4">
      <c r="A88" s="78"/>
      <c r="B88" s="79"/>
      <c r="C88" s="79"/>
      <c r="D88" s="80"/>
    </row>
    <row r="89" spans="1:4">
      <c r="A89" s="78"/>
      <c r="B89" s="79"/>
      <c r="C89" s="79"/>
      <c r="D89" s="80"/>
    </row>
    <row r="90" spans="1:4">
      <c r="A90" s="78"/>
      <c r="B90" s="79"/>
      <c r="C90" s="79"/>
      <c r="D90" s="80"/>
    </row>
    <row r="91" spans="1:4">
      <c r="A91" s="78"/>
      <c r="B91" s="79"/>
      <c r="C91" s="79"/>
      <c r="D91" s="80"/>
    </row>
    <row r="92" spans="1:4">
      <c r="A92" s="78"/>
      <c r="B92" s="79"/>
      <c r="C92" s="79"/>
      <c r="D92" s="80"/>
    </row>
    <row r="93" spans="1:4">
      <c r="A93" s="78"/>
      <c r="B93" s="79"/>
      <c r="C93" s="79"/>
      <c r="D93" s="80"/>
    </row>
    <row r="94" spans="1:4">
      <c r="A94" s="78"/>
      <c r="B94" s="79"/>
      <c r="C94" s="79"/>
      <c r="D94" s="80"/>
    </row>
    <row r="95" spans="1:4">
      <c r="A95" s="78"/>
      <c r="B95" s="79"/>
      <c r="C95" s="79"/>
      <c r="D95" s="80"/>
    </row>
    <row r="96" spans="1:4">
      <c r="A96" s="78"/>
      <c r="B96" s="79"/>
      <c r="C96" s="79"/>
      <c r="D96" s="80"/>
    </row>
    <row r="97" spans="1:4">
      <c r="A97" s="78"/>
      <c r="B97" s="79"/>
      <c r="C97" s="79"/>
      <c r="D97" s="80"/>
    </row>
    <row r="98" spans="1:4">
      <c r="A98" s="78"/>
      <c r="B98" s="79"/>
      <c r="C98" s="79"/>
      <c r="D98" s="80"/>
    </row>
    <row r="99" spans="1:4">
      <c r="A99" s="78"/>
      <c r="B99" s="79"/>
      <c r="C99" s="79"/>
      <c r="D99" s="80"/>
    </row>
    <row r="100" spans="1:4" ht="15" customHeight="1">
      <c r="A100" s="78"/>
      <c r="B100" s="79"/>
      <c r="C100" s="79"/>
      <c r="D100" s="80"/>
    </row>
    <row r="101" spans="1:4">
      <c r="A101" s="78"/>
      <c r="B101" s="79"/>
      <c r="C101" s="79"/>
      <c r="D101" s="80"/>
    </row>
    <row r="102" spans="1:4">
      <c r="A102" s="78"/>
      <c r="B102" s="79"/>
      <c r="C102" s="79"/>
      <c r="D102" s="80"/>
    </row>
    <row r="103" spans="1:4">
      <c r="A103" s="78"/>
      <c r="B103" s="79"/>
      <c r="C103" s="79"/>
      <c r="D103" s="80"/>
    </row>
    <row r="104" spans="1:4">
      <c r="A104" s="78"/>
      <c r="B104" s="79"/>
      <c r="C104" s="79"/>
      <c r="D104" s="80"/>
    </row>
    <row r="105" spans="1:4">
      <c r="A105" s="78"/>
      <c r="B105" s="79"/>
      <c r="C105" s="79"/>
      <c r="D105" s="80"/>
    </row>
    <row r="107" spans="1:4">
      <c r="A107" s="61" t="s">
        <v>186</v>
      </c>
      <c r="B107" s="61"/>
      <c r="C107" s="61"/>
      <c r="D107" s="77"/>
    </row>
    <row r="108" spans="1:4" s="28" customFormat="1">
      <c r="A108" s="67"/>
      <c r="B108" s="81"/>
      <c r="C108" s="81"/>
      <c r="D108" s="82"/>
    </row>
    <row r="109" spans="1:4" s="28" customFormat="1">
      <c r="A109" s="67"/>
      <c r="B109" s="81"/>
      <c r="C109" s="81"/>
      <c r="D109" s="82"/>
    </row>
    <row r="110" spans="1:4" s="28" customFormat="1">
      <c r="A110" s="67"/>
      <c r="B110" s="81"/>
      <c r="C110" s="81"/>
      <c r="D110" s="82"/>
    </row>
    <row r="111" spans="1:4" s="28" customFormat="1">
      <c r="A111" s="67"/>
      <c r="B111" s="81"/>
      <c r="C111" s="81"/>
      <c r="D111" s="82"/>
    </row>
    <row r="112" spans="1:4" s="28" customFormat="1">
      <c r="A112" s="67"/>
      <c r="B112" s="81"/>
      <c r="C112" s="81"/>
      <c r="D112" s="82"/>
    </row>
    <row r="113" spans="1:4" s="28" customFormat="1">
      <c r="A113" s="67"/>
      <c r="B113" s="81"/>
      <c r="C113" s="81"/>
      <c r="D113" s="82"/>
    </row>
    <row r="114" spans="1:4" s="28" customFormat="1">
      <c r="A114" s="67"/>
      <c r="B114" s="81"/>
      <c r="C114" s="81"/>
      <c r="D114" s="82"/>
    </row>
    <row r="115" spans="1:4" s="28" customFormat="1" ht="27" customHeight="1">
      <c r="A115" s="67"/>
      <c r="B115" s="81"/>
      <c r="C115" s="81"/>
      <c r="D115" s="82"/>
    </row>
    <row r="116" spans="1:4" s="28" customFormat="1">
      <c r="A116" s="67"/>
      <c r="B116" s="81"/>
      <c r="C116" s="81"/>
      <c r="D116" s="82"/>
    </row>
    <row r="117" spans="1:4" s="28" customFormat="1">
      <c r="A117" s="67"/>
      <c r="B117" s="81"/>
      <c r="C117" s="81"/>
      <c r="D117" s="82"/>
    </row>
    <row r="118" spans="1:4" s="28" customFormat="1">
      <c r="A118" s="67"/>
      <c r="B118" s="81"/>
      <c r="C118" s="81"/>
      <c r="D118" s="82"/>
    </row>
    <row r="119" spans="1:4" s="28" customFormat="1">
      <c r="A119" s="67"/>
      <c r="B119" s="81"/>
      <c r="C119" s="81"/>
      <c r="D119" s="82"/>
    </row>
    <row r="120" spans="1:4" s="28" customFormat="1">
      <c r="A120" s="67"/>
      <c r="B120" s="81"/>
      <c r="C120" s="81"/>
      <c r="D120" s="82"/>
    </row>
    <row r="121" spans="1:4" s="28" customFormat="1">
      <c r="A121" s="67"/>
      <c r="B121" s="81"/>
      <c r="C121" s="81"/>
      <c r="D121" s="82"/>
    </row>
    <row r="122" spans="1:4" s="28" customFormat="1">
      <c r="A122" s="67"/>
      <c r="B122" s="81"/>
      <c r="C122" s="81"/>
      <c r="D122" s="82"/>
    </row>
    <row r="123" spans="1:4" s="28" customFormat="1">
      <c r="A123" s="67"/>
      <c r="B123" s="81"/>
      <c r="C123" s="81"/>
      <c r="D123" s="82"/>
    </row>
    <row r="124" spans="1:4" s="28" customFormat="1">
      <c r="A124" s="67"/>
      <c r="B124" s="81"/>
      <c r="C124" s="81"/>
      <c r="D124" s="82"/>
    </row>
    <row r="125" spans="1:4" s="28" customFormat="1">
      <c r="A125" s="67"/>
      <c r="B125" s="81"/>
      <c r="C125" s="81"/>
      <c r="D125" s="82"/>
    </row>
    <row r="126" spans="1:4" s="28" customFormat="1">
      <c r="A126" s="67"/>
      <c r="B126" s="81"/>
      <c r="C126" s="81"/>
      <c r="D126" s="82"/>
    </row>
    <row r="127" spans="1:4" s="28" customFormat="1">
      <c r="A127" s="67"/>
      <c r="B127" s="81"/>
      <c r="C127" s="81"/>
      <c r="D127" s="82"/>
    </row>
    <row r="128" spans="1:4" s="28" customFormat="1">
      <c r="A128" s="67"/>
      <c r="B128" s="81"/>
      <c r="C128" s="81"/>
      <c r="D128" s="82"/>
    </row>
    <row r="129" spans="1:4" s="28" customFormat="1">
      <c r="A129" s="67"/>
      <c r="B129" s="81"/>
      <c r="C129" s="81"/>
      <c r="D129" s="82"/>
    </row>
    <row r="130" spans="1:4" s="28" customFormat="1">
      <c r="A130" s="67"/>
      <c r="B130" s="81"/>
      <c r="C130" s="81"/>
      <c r="D130" s="82"/>
    </row>
    <row r="131" spans="1:4" s="28" customFormat="1">
      <c r="A131" s="67"/>
      <c r="B131" s="81"/>
      <c r="C131" s="81"/>
      <c r="D131" s="82"/>
    </row>
    <row r="132" spans="1:4" s="28" customFormat="1">
      <c r="A132" s="67"/>
      <c r="B132" s="81"/>
      <c r="C132" s="81"/>
      <c r="D132" s="82"/>
    </row>
    <row r="133" spans="1:4" s="28" customFormat="1">
      <c r="A133" s="67"/>
      <c r="B133" s="81"/>
      <c r="C133" s="81"/>
      <c r="D133" s="82"/>
    </row>
    <row r="134" spans="1:4" s="28" customFormat="1">
      <c r="A134" s="67"/>
      <c r="B134" s="81"/>
      <c r="C134" s="81"/>
      <c r="D134" s="82"/>
    </row>
    <row r="135" spans="1:4" s="28" customFormat="1">
      <c r="A135" s="67"/>
      <c r="B135" s="81"/>
      <c r="C135" s="81"/>
      <c r="D135" s="82"/>
    </row>
    <row r="136" spans="1:4" s="28" customFormat="1">
      <c r="A136" s="67"/>
      <c r="B136" s="81"/>
      <c r="C136" s="81"/>
      <c r="D136" s="82"/>
    </row>
    <row r="137" spans="1:4" s="28" customFormat="1">
      <c r="A137" s="67"/>
      <c r="B137" s="81"/>
      <c r="C137" s="81"/>
      <c r="D137" s="82"/>
    </row>
    <row r="140" spans="1:4">
      <c r="A140" s="61" t="s">
        <v>187</v>
      </c>
      <c r="B140" s="61"/>
      <c r="C140" s="61"/>
      <c r="D140" s="77"/>
    </row>
    <row r="141" spans="1:4">
      <c r="A141" s="78"/>
      <c r="B141" s="79"/>
      <c r="C141" s="79"/>
      <c r="D141" s="80"/>
    </row>
    <row r="142" spans="1:4">
      <c r="A142" s="78"/>
      <c r="B142" s="79"/>
      <c r="C142" s="79"/>
      <c r="D142" s="80"/>
    </row>
    <row r="143" spans="1:4">
      <c r="A143" s="78"/>
      <c r="B143" s="79"/>
      <c r="C143" s="79"/>
      <c r="D143" s="80"/>
    </row>
    <row r="144" spans="1:4">
      <c r="A144" s="78"/>
      <c r="B144" s="79"/>
      <c r="C144" s="79"/>
      <c r="D144" s="80"/>
    </row>
    <row r="145" spans="1:4" ht="27" customHeight="1">
      <c r="A145" s="78"/>
      <c r="B145" s="79"/>
      <c r="C145" s="79"/>
      <c r="D145" s="80"/>
    </row>
    <row r="146" spans="1:4">
      <c r="A146" s="78"/>
      <c r="B146" s="79"/>
      <c r="C146" s="79"/>
      <c r="D146" s="80"/>
    </row>
    <row r="147" spans="1:4">
      <c r="A147" s="78"/>
      <c r="B147" s="79"/>
      <c r="C147" s="79"/>
      <c r="D147" s="80"/>
    </row>
    <row r="148" spans="1:4">
      <c r="A148" s="78"/>
      <c r="B148" s="79"/>
      <c r="C148" s="79"/>
      <c r="D148" s="80"/>
    </row>
    <row r="149" spans="1:4">
      <c r="A149" s="78"/>
      <c r="B149" s="79"/>
      <c r="C149" s="79"/>
      <c r="D149" s="80"/>
    </row>
    <row r="150" spans="1:4">
      <c r="A150" s="78"/>
      <c r="B150" s="79"/>
      <c r="C150" s="79"/>
      <c r="D150" s="80"/>
    </row>
    <row r="151" spans="1:4">
      <c r="A151" s="78"/>
      <c r="B151" s="79"/>
      <c r="C151" s="79"/>
      <c r="D151" s="80"/>
    </row>
    <row r="152" spans="1:4">
      <c r="A152" s="78"/>
      <c r="B152" s="79"/>
      <c r="C152" s="79"/>
      <c r="D152" s="80"/>
    </row>
    <row r="153" spans="1:4">
      <c r="A153" s="78"/>
      <c r="B153" s="79"/>
      <c r="C153" s="79"/>
      <c r="D153" s="80"/>
    </row>
    <row r="154" spans="1:4">
      <c r="A154" s="78"/>
      <c r="B154" s="79"/>
      <c r="C154" s="79"/>
      <c r="D154" s="80"/>
    </row>
    <row r="155" spans="1:4">
      <c r="A155" s="78"/>
      <c r="B155" s="79"/>
      <c r="C155" s="79"/>
      <c r="D155" s="80"/>
    </row>
    <row r="156" spans="1:4">
      <c r="A156" s="78"/>
      <c r="B156" s="79"/>
      <c r="C156" s="79"/>
      <c r="D156" s="80"/>
    </row>
    <row r="157" spans="1:4">
      <c r="A157" s="78"/>
      <c r="B157" s="79"/>
      <c r="C157" s="79"/>
      <c r="D157" s="80"/>
    </row>
    <row r="158" spans="1:4">
      <c r="A158" s="78"/>
      <c r="B158" s="79"/>
      <c r="C158" s="79"/>
      <c r="D158" s="80"/>
    </row>
    <row r="159" spans="1:4">
      <c r="A159" s="78"/>
      <c r="B159" s="79"/>
      <c r="C159" s="79"/>
      <c r="D159" s="80"/>
    </row>
    <row r="160" spans="1:4">
      <c r="A160" s="78"/>
      <c r="B160" s="79"/>
      <c r="C160" s="79"/>
      <c r="D160" s="80"/>
    </row>
    <row r="161" spans="1:4">
      <c r="A161" s="78"/>
      <c r="B161" s="79"/>
      <c r="C161" s="79"/>
      <c r="D161" s="80"/>
    </row>
    <row r="162" spans="1:4">
      <c r="A162" s="78"/>
      <c r="B162" s="79"/>
      <c r="C162" s="79"/>
      <c r="D162" s="80"/>
    </row>
    <row r="163" spans="1:4">
      <c r="A163" s="78"/>
      <c r="B163" s="79"/>
      <c r="C163" s="79"/>
      <c r="D163" s="80"/>
    </row>
    <row r="164" spans="1:4">
      <c r="A164" s="78"/>
      <c r="B164" s="79"/>
      <c r="C164" s="79"/>
      <c r="D164" s="80"/>
    </row>
    <row r="165" spans="1:4">
      <c r="A165" s="78"/>
      <c r="B165" s="79"/>
      <c r="C165" s="79"/>
      <c r="D165" s="80"/>
    </row>
    <row r="166" spans="1:4">
      <c r="A166" s="78"/>
      <c r="B166" s="79"/>
      <c r="C166" s="79"/>
      <c r="D166" s="80"/>
    </row>
    <row r="167" spans="1:4">
      <c r="A167" s="78"/>
      <c r="B167" s="79"/>
      <c r="C167" s="79"/>
      <c r="D167" s="80"/>
    </row>
    <row r="168" spans="1:4">
      <c r="A168" s="78"/>
      <c r="B168" s="79"/>
      <c r="C168" s="79"/>
      <c r="D168" s="80"/>
    </row>
    <row r="169" spans="1:4">
      <c r="A169" s="78"/>
      <c r="B169" s="79"/>
      <c r="C169" s="79"/>
      <c r="D169" s="80"/>
    </row>
    <row r="170" spans="1:4">
      <c r="A170" s="78"/>
      <c r="B170" s="79"/>
      <c r="C170" s="79"/>
      <c r="D170" s="80"/>
    </row>
    <row r="175" spans="1:4" ht="26.25" customHeight="1">
      <c r="A175" s="61" t="s">
        <v>188</v>
      </c>
      <c r="B175" s="61"/>
      <c r="C175" s="61"/>
      <c r="D175" s="77"/>
    </row>
    <row r="176" spans="1:4">
      <c r="A176" s="78"/>
      <c r="B176" s="79"/>
      <c r="C176" s="79"/>
      <c r="D176" s="80"/>
    </row>
    <row r="177" spans="1:4">
      <c r="A177" s="78"/>
      <c r="B177" s="79"/>
      <c r="C177" s="79"/>
      <c r="D177" s="80"/>
    </row>
    <row r="178" spans="1:4">
      <c r="A178" s="78"/>
      <c r="B178" s="79"/>
      <c r="C178" s="79"/>
      <c r="D178" s="80"/>
    </row>
    <row r="179" spans="1:4">
      <c r="A179" s="78"/>
      <c r="B179" s="79"/>
      <c r="C179" s="79"/>
      <c r="D179" s="80"/>
    </row>
    <row r="180" spans="1:4">
      <c r="A180" s="78"/>
      <c r="B180" s="79"/>
      <c r="C180" s="79"/>
      <c r="D180" s="80"/>
    </row>
    <row r="181" spans="1:4">
      <c r="A181" s="78"/>
      <c r="B181" s="79"/>
      <c r="C181" s="79"/>
      <c r="D181" s="80"/>
    </row>
    <row r="182" spans="1:4">
      <c r="A182" s="78"/>
      <c r="B182" s="79"/>
      <c r="C182" s="79"/>
      <c r="D182" s="80"/>
    </row>
    <row r="183" spans="1:4">
      <c r="A183" s="78"/>
      <c r="B183" s="79"/>
      <c r="C183" s="79"/>
      <c r="D183" s="80"/>
    </row>
    <row r="184" spans="1:4">
      <c r="A184" s="78"/>
      <c r="B184" s="79"/>
      <c r="C184" s="79"/>
      <c r="D184" s="80"/>
    </row>
    <row r="185" spans="1:4">
      <c r="A185" s="78"/>
      <c r="B185" s="79"/>
      <c r="C185" s="79"/>
      <c r="D185" s="80"/>
    </row>
    <row r="186" spans="1:4">
      <c r="A186" s="78"/>
      <c r="B186" s="79"/>
      <c r="C186" s="79"/>
      <c r="D186" s="80"/>
    </row>
    <row r="187" spans="1:4">
      <c r="A187" s="78"/>
      <c r="B187" s="79"/>
      <c r="C187" s="79"/>
      <c r="D187" s="80"/>
    </row>
    <row r="188" spans="1:4">
      <c r="A188" s="78"/>
      <c r="B188" s="79"/>
      <c r="C188" s="79"/>
      <c r="D188" s="80"/>
    </row>
    <row r="189" spans="1:4">
      <c r="A189" s="78"/>
      <c r="B189" s="79"/>
      <c r="C189" s="79"/>
      <c r="D189" s="80"/>
    </row>
    <row r="190" spans="1:4" ht="15" customHeight="1">
      <c r="A190" s="78"/>
      <c r="B190" s="79"/>
      <c r="C190" s="79"/>
      <c r="D190" s="80"/>
    </row>
    <row r="191" spans="1:4">
      <c r="A191" s="78"/>
      <c r="B191" s="79"/>
      <c r="C191" s="79"/>
      <c r="D191" s="80"/>
    </row>
    <row r="192" spans="1:4">
      <c r="A192" s="78"/>
      <c r="B192" s="79"/>
      <c r="C192" s="79"/>
      <c r="D192" s="80"/>
    </row>
    <row r="193" spans="1:4">
      <c r="A193" s="78"/>
      <c r="B193" s="79"/>
      <c r="C193" s="79"/>
      <c r="D193" s="80"/>
    </row>
    <row r="194" spans="1:4">
      <c r="A194" s="78"/>
      <c r="B194" s="79"/>
      <c r="C194" s="79"/>
      <c r="D194" s="80"/>
    </row>
    <row r="195" spans="1:4">
      <c r="A195" s="78"/>
      <c r="B195" s="79"/>
      <c r="C195" s="79"/>
      <c r="D195" s="80"/>
    </row>
    <row r="196" spans="1:4">
      <c r="A196" s="78"/>
      <c r="B196" s="79"/>
      <c r="C196" s="79"/>
      <c r="D196" s="80"/>
    </row>
    <row r="197" spans="1:4">
      <c r="A197" s="78"/>
      <c r="B197" s="79"/>
      <c r="C197" s="79"/>
      <c r="D197" s="80"/>
    </row>
    <row r="198" spans="1:4">
      <c r="A198" s="78"/>
      <c r="B198" s="79"/>
      <c r="C198" s="79"/>
      <c r="D198" s="80"/>
    </row>
    <row r="199" spans="1:4">
      <c r="A199" s="78"/>
      <c r="B199" s="79"/>
      <c r="C199" s="79"/>
      <c r="D199" s="80"/>
    </row>
    <row r="200" spans="1:4">
      <c r="A200" s="78"/>
      <c r="B200" s="79"/>
      <c r="C200" s="79"/>
      <c r="D200" s="80"/>
    </row>
    <row r="201" spans="1:4">
      <c r="A201" s="78"/>
      <c r="B201" s="79"/>
      <c r="C201" s="79"/>
      <c r="D201" s="80"/>
    </row>
    <row r="202" spans="1:4">
      <c r="A202" s="78"/>
      <c r="B202" s="79"/>
      <c r="C202" s="79"/>
      <c r="D202" s="80"/>
    </row>
    <row r="203" spans="1:4">
      <c r="A203" s="78"/>
      <c r="B203" s="79"/>
      <c r="C203" s="79"/>
      <c r="D203" s="80"/>
    </row>
    <row r="204" spans="1:4">
      <c r="A204" s="78"/>
      <c r="B204" s="79"/>
      <c r="C204" s="79"/>
      <c r="D204" s="80"/>
    </row>
    <row r="205" spans="1:4" ht="15" customHeight="1">
      <c r="A205" s="78"/>
      <c r="B205" s="79"/>
      <c r="C205" s="79"/>
      <c r="D205" s="80"/>
    </row>
    <row r="208" spans="1:4">
      <c r="A208" s="61" t="s">
        <v>189</v>
      </c>
      <c r="B208" s="61"/>
      <c r="C208" s="61"/>
      <c r="D208" s="77"/>
    </row>
    <row r="209" spans="1:4">
      <c r="A209" s="67"/>
      <c r="B209" s="76"/>
      <c r="C209" s="76"/>
      <c r="D209" s="60"/>
    </row>
    <row r="210" spans="1:4">
      <c r="A210" s="67"/>
      <c r="B210" s="76"/>
      <c r="C210" s="76"/>
      <c r="D210" s="60"/>
    </row>
    <row r="211" spans="1:4">
      <c r="A211" s="67"/>
      <c r="B211" s="76"/>
      <c r="C211" s="76"/>
      <c r="D211" s="60"/>
    </row>
    <row r="212" spans="1:4">
      <c r="A212" s="67"/>
      <c r="B212" s="76"/>
      <c r="C212" s="76"/>
      <c r="D212" s="60"/>
    </row>
    <row r="213" spans="1:4">
      <c r="A213" s="67"/>
      <c r="B213" s="76"/>
      <c r="C213" s="76"/>
      <c r="D213" s="60"/>
    </row>
    <row r="214" spans="1:4">
      <c r="A214" s="67"/>
      <c r="B214" s="76"/>
      <c r="C214" s="76"/>
      <c r="D214" s="60"/>
    </row>
    <row r="215" spans="1:4">
      <c r="A215" s="67"/>
      <c r="B215" s="76"/>
      <c r="C215" s="76"/>
      <c r="D215" s="60"/>
    </row>
    <row r="216" spans="1:4">
      <c r="A216" s="67"/>
      <c r="B216" s="76"/>
      <c r="C216" s="76"/>
      <c r="D216" s="60"/>
    </row>
    <row r="217" spans="1:4">
      <c r="A217" s="67"/>
      <c r="B217" s="76"/>
      <c r="C217" s="76"/>
      <c r="D217" s="60"/>
    </row>
    <row r="218" spans="1:4">
      <c r="A218" s="67"/>
      <c r="B218" s="76"/>
      <c r="C218" s="76"/>
      <c r="D218" s="60"/>
    </row>
    <row r="219" spans="1:4">
      <c r="A219" s="67"/>
      <c r="B219" s="76"/>
      <c r="C219" s="76"/>
      <c r="D219" s="60"/>
    </row>
    <row r="220" spans="1:4" ht="27" customHeight="1">
      <c r="A220" s="67"/>
      <c r="B220" s="76"/>
      <c r="C220" s="76"/>
      <c r="D220" s="60"/>
    </row>
    <row r="221" spans="1:4">
      <c r="A221" s="67"/>
      <c r="B221" s="76"/>
      <c r="C221" s="76"/>
      <c r="D221" s="60"/>
    </row>
    <row r="222" spans="1:4">
      <c r="A222" s="67"/>
      <c r="B222" s="76"/>
      <c r="C222" s="76"/>
      <c r="D222" s="60"/>
    </row>
    <row r="223" spans="1:4">
      <c r="A223" s="67"/>
      <c r="B223" s="76"/>
      <c r="C223" s="76"/>
      <c r="D223" s="60"/>
    </row>
    <row r="224" spans="1:4">
      <c r="A224" s="67"/>
      <c r="B224" s="76"/>
      <c r="C224" s="76"/>
      <c r="D224" s="60"/>
    </row>
    <row r="225" spans="1:4">
      <c r="A225" s="67"/>
      <c r="B225" s="76"/>
      <c r="C225" s="76"/>
      <c r="D225" s="60"/>
    </row>
    <row r="226" spans="1:4">
      <c r="A226" s="67"/>
      <c r="B226" s="76"/>
      <c r="C226" s="76"/>
      <c r="D226" s="60"/>
    </row>
    <row r="227" spans="1:4">
      <c r="A227" s="67"/>
      <c r="B227" s="76"/>
      <c r="C227" s="76"/>
      <c r="D227" s="60"/>
    </row>
    <row r="228" spans="1:4">
      <c r="A228" s="67"/>
      <c r="B228" s="76"/>
      <c r="C228" s="76"/>
      <c r="D228" s="60"/>
    </row>
    <row r="229" spans="1:4">
      <c r="A229" s="67"/>
      <c r="B229" s="76"/>
      <c r="C229" s="76"/>
      <c r="D229" s="60"/>
    </row>
    <row r="230" spans="1:4">
      <c r="A230" s="67"/>
      <c r="B230" s="76"/>
      <c r="C230" s="76"/>
      <c r="D230" s="60"/>
    </row>
    <row r="231" spans="1:4">
      <c r="A231" s="67"/>
      <c r="B231" s="76"/>
      <c r="C231" s="76"/>
      <c r="D231" s="60"/>
    </row>
    <row r="232" spans="1:4">
      <c r="A232" s="67"/>
      <c r="B232" s="76"/>
      <c r="C232" s="76"/>
      <c r="D232" s="60"/>
    </row>
    <row r="233" spans="1:4">
      <c r="A233" s="67"/>
      <c r="B233" s="76"/>
      <c r="C233" s="76"/>
      <c r="D233" s="60"/>
    </row>
    <row r="234" spans="1:4">
      <c r="A234" s="67"/>
      <c r="B234" s="76"/>
      <c r="C234" s="76"/>
      <c r="D234" s="60"/>
    </row>
    <row r="235" spans="1:4" ht="20.25" customHeight="1">
      <c r="A235" s="67"/>
      <c r="B235" s="76"/>
      <c r="C235" s="76"/>
      <c r="D235" s="60"/>
    </row>
    <row r="236" spans="1:4">
      <c r="A236" s="67"/>
      <c r="B236" s="76"/>
      <c r="C236" s="76"/>
      <c r="D236" s="60"/>
    </row>
    <row r="237" spans="1:4">
      <c r="A237" s="67"/>
      <c r="B237" s="76"/>
      <c r="C237" s="76"/>
      <c r="D237" s="60"/>
    </row>
    <row r="238" spans="1:4">
      <c r="A238" s="67"/>
      <c r="B238" s="76"/>
      <c r="C238" s="76"/>
      <c r="D238" s="60"/>
    </row>
    <row r="241" spans="1:4">
      <c r="A241" s="61" t="s">
        <v>190</v>
      </c>
      <c r="B241" s="61"/>
      <c r="C241" s="61"/>
      <c r="D241" s="77"/>
    </row>
    <row r="242" spans="1:4">
      <c r="A242" s="67"/>
      <c r="B242" s="76"/>
      <c r="C242" s="76"/>
      <c r="D242" s="60"/>
    </row>
    <row r="243" spans="1:4">
      <c r="A243" s="67"/>
      <c r="B243" s="76"/>
      <c r="C243" s="76"/>
      <c r="D243" s="60"/>
    </row>
    <row r="244" spans="1:4">
      <c r="A244" s="67"/>
      <c r="B244" s="76"/>
      <c r="C244" s="76"/>
      <c r="D244" s="60"/>
    </row>
    <row r="245" spans="1:4">
      <c r="A245" s="67"/>
      <c r="B245" s="76"/>
      <c r="C245" s="76"/>
      <c r="D245" s="60"/>
    </row>
    <row r="246" spans="1:4">
      <c r="A246" s="67"/>
      <c r="B246" s="76"/>
      <c r="C246" s="76"/>
      <c r="D246" s="60"/>
    </row>
    <row r="247" spans="1:4">
      <c r="A247" s="67"/>
      <c r="B247" s="76"/>
      <c r="C247" s="76"/>
      <c r="D247" s="60"/>
    </row>
    <row r="248" spans="1:4">
      <c r="A248" s="67"/>
      <c r="B248" s="76"/>
      <c r="C248" s="76"/>
      <c r="D248" s="60"/>
    </row>
    <row r="249" spans="1:4">
      <c r="A249" s="67"/>
      <c r="B249" s="76"/>
      <c r="C249" s="76"/>
      <c r="D249" s="60"/>
    </row>
    <row r="250" spans="1:4" ht="15" customHeight="1">
      <c r="A250" s="67"/>
      <c r="B250" s="76"/>
      <c r="C250" s="76"/>
      <c r="D250" s="60"/>
    </row>
    <row r="251" spans="1:4">
      <c r="A251" s="67"/>
      <c r="B251" s="76"/>
      <c r="C251" s="76"/>
      <c r="D251" s="60"/>
    </row>
    <row r="252" spans="1:4">
      <c r="A252" s="67"/>
      <c r="B252" s="76"/>
      <c r="C252" s="76"/>
      <c r="D252" s="60"/>
    </row>
    <row r="253" spans="1:4">
      <c r="A253" s="67"/>
      <c r="B253" s="76"/>
      <c r="C253" s="76"/>
      <c r="D253" s="60"/>
    </row>
    <row r="254" spans="1:4">
      <c r="A254" s="67"/>
      <c r="B254" s="76"/>
      <c r="C254" s="76"/>
      <c r="D254" s="60"/>
    </row>
    <row r="255" spans="1:4">
      <c r="A255" s="67"/>
      <c r="B255" s="76"/>
      <c r="C255" s="76"/>
      <c r="D255" s="60"/>
    </row>
    <row r="256" spans="1:4">
      <c r="A256" s="67"/>
      <c r="B256" s="76"/>
      <c r="C256" s="76"/>
      <c r="D256" s="60"/>
    </row>
    <row r="257" spans="1:4">
      <c r="A257" s="67"/>
      <c r="B257" s="76"/>
      <c r="C257" s="76"/>
      <c r="D257" s="60"/>
    </row>
    <row r="258" spans="1:4">
      <c r="A258" s="67"/>
      <c r="B258" s="76"/>
      <c r="C258" s="76"/>
      <c r="D258" s="60"/>
    </row>
    <row r="259" spans="1:4">
      <c r="A259" s="67"/>
      <c r="B259" s="76"/>
      <c r="C259" s="76"/>
      <c r="D259" s="60"/>
    </row>
    <row r="260" spans="1:4">
      <c r="A260" s="67"/>
      <c r="B260" s="76"/>
      <c r="C260" s="76"/>
      <c r="D260" s="60"/>
    </row>
    <row r="261" spans="1:4">
      <c r="A261" s="67"/>
      <c r="B261" s="76"/>
      <c r="C261" s="76"/>
      <c r="D261" s="60"/>
    </row>
    <row r="262" spans="1:4">
      <c r="A262" s="67"/>
      <c r="B262" s="76"/>
      <c r="C262" s="76"/>
      <c r="D262" s="60"/>
    </row>
    <row r="263" spans="1:4">
      <c r="A263" s="67"/>
      <c r="B263" s="76"/>
      <c r="C263" s="76"/>
      <c r="D263" s="60"/>
    </row>
    <row r="264" spans="1:4">
      <c r="A264" s="67"/>
      <c r="B264" s="76"/>
      <c r="C264" s="76"/>
      <c r="D264" s="60"/>
    </row>
    <row r="265" spans="1:4" ht="15" customHeight="1">
      <c r="A265" s="67"/>
      <c r="B265" s="76"/>
      <c r="C265" s="76"/>
      <c r="D265" s="60"/>
    </row>
    <row r="266" spans="1:4">
      <c r="A266" s="67"/>
      <c r="B266" s="76"/>
      <c r="C266" s="76"/>
      <c r="D266" s="60"/>
    </row>
    <row r="267" spans="1:4">
      <c r="A267" s="67"/>
      <c r="B267" s="76"/>
      <c r="C267" s="76"/>
      <c r="D267" s="60"/>
    </row>
    <row r="268" spans="1:4">
      <c r="A268" s="67"/>
      <c r="B268" s="76"/>
      <c r="C268" s="76"/>
      <c r="D268" s="60"/>
    </row>
    <row r="269" spans="1:4">
      <c r="A269" s="67"/>
      <c r="B269" s="76"/>
      <c r="C269" s="76"/>
      <c r="D269" s="60"/>
    </row>
    <row r="270" spans="1:4">
      <c r="A270" s="67"/>
      <c r="B270" s="76"/>
      <c r="C270" s="76"/>
      <c r="D270" s="60"/>
    </row>
    <row r="271" spans="1:4">
      <c r="A271" s="67"/>
      <c r="B271" s="76"/>
      <c r="C271" s="76"/>
      <c r="D271" s="60"/>
    </row>
    <row r="274" spans="1:4">
      <c r="A274" s="61" t="s">
        <v>191</v>
      </c>
      <c r="B274" s="61"/>
      <c r="C274" s="61"/>
      <c r="D274" s="77"/>
    </row>
    <row r="275" spans="1:4">
      <c r="A275" s="67"/>
      <c r="B275" s="76"/>
      <c r="C275" s="76"/>
      <c r="D275" s="60"/>
    </row>
    <row r="276" spans="1:4">
      <c r="A276" s="67"/>
      <c r="B276" s="76"/>
      <c r="C276" s="76"/>
      <c r="D276" s="60"/>
    </row>
    <row r="277" spans="1:4">
      <c r="A277" s="67"/>
      <c r="B277" s="76"/>
      <c r="C277" s="76"/>
      <c r="D277" s="60"/>
    </row>
    <row r="278" spans="1:4">
      <c r="A278" s="67"/>
      <c r="B278" s="76"/>
      <c r="C278" s="76"/>
      <c r="D278" s="60"/>
    </row>
    <row r="279" spans="1:4">
      <c r="A279" s="67"/>
      <c r="B279" s="76"/>
      <c r="C279" s="76"/>
      <c r="D279" s="60"/>
    </row>
    <row r="280" spans="1:4" ht="15" customHeight="1">
      <c r="A280" s="67"/>
      <c r="B280" s="76"/>
      <c r="C280" s="76"/>
      <c r="D280" s="60"/>
    </row>
    <row r="281" spans="1:4">
      <c r="A281" s="67"/>
      <c r="B281" s="76"/>
      <c r="C281" s="76"/>
      <c r="D281" s="60"/>
    </row>
    <row r="282" spans="1:4">
      <c r="A282" s="67"/>
      <c r="B282" s="76"/>
      <c r="C282" s="76"/>
      <c r="D282" s="60"/>
    </row>
    <row r="283" spans="1:4">
      <c r="A283" s="67"/>
      <c r="B283" s="76"/>
      <c r="C283" s="76"/>
      <c r="D283" s="60"/>
    </row>
    <row r="284" spans="1:4" ht="23.45" customHeight="1">
      <c r="A284" s="67"/>
      <c r="B284" s="76"/>
      <c r="C284" s="76"/>
      <c r="D284" s="60"/>
    </row>
    <row r="285" spans="1:4">
      <c r="A285" s="67"/>
      <c r="B285" s="76"/>
      <c r="C285" s="76"/>
      <c r="D285" s="60"/>
    </row>
    <row r="286" spans="1:4">
      <c r="A286" s="67"/>
      <c r="B286" s="76"/>
      <c r="C286" s="76"/>
      <c r="D286" s="60"/>
    </row>
    <row r="287" spans="1:4">
      <c r="A287" s="67"/>
      <c r="B287" s="76"/>
      <c r="C287" s="76"/>
      <c r="D287" s="60"/>
    </row>
    <row r="288" spans="1:4">
      <c r="A288" s="67"/>
      <c r="B288" s="76"/>
      <c r="C288" s="76"/>
      <c r="D288" s="60"/>
    </row>
    <row r="289" spans="1:4">
      <c r="A289" s="67"/>
      <c r="B289" s="76"/>
      <c r="C289" s="76"/>
      <c r="D289" s="60"/>
    </row>
    <row r="290" spans="1:4">
      <c r="A290" s="67"/>
      <c r="B290" s="76"/>
      <c r="C290" s="76"/>
      <c r="D290" s="60"/>
    </row>
    <row r="291" spans="1:4">
      <c r="A291" s="67"/>
      <c r="B291" s="76"/>
      <c r="C291" s="76"/>
      <c r="D291" s="60"/>
    </row>
    <row r="292" spans="1:4">
      <c r="A292" s="67"/>
      <c r="B292" s="76"/>
      <c r="C292" s="76"/>
      <c r="D292" s="60"/>
    </row>
    <row r="293" spans="1:4">
      <c r="A293" s="67"/>
      <c r="B293" s="76"/>
      <c r="C293" s="76"/>
      <c r="D293" s="60"/>
    </row>
    <row r="294" spans="1:4">
      <c r="A294" s="67"/>
      <c r="B294" s="76"/>
      <c r="C294" s="76"/>
      <c r="D294" s="60"/>
    </row>
    <row r="295" spans="1:4" ht="27" customHeight="1">
      <c r="A295" s="67"/>
      <c r="B295" s="76"/>
      <c r="C295" s="76"/>
      <c r="D295" s="60"/>
    </row>
    <row r="296" spans="1:4">
      <c r="A296" s="67"/>
      <c r="B296" s="76"/>
      <c r="C296" s="76"/>
      <c r="D296" s="60"/>
    </row>
    <row r="297" spans="1:4">
      <c r="A297" s="67"/>
      <c r="B297" s="76"/>
      <c r="C297" s="76"/>
      <c r="D297" s="60"/>
    </row>
    <row r="298" spans="1:4">
      <c r="A298" s="67"/>
      <c r="B298" s="76"/>
      <c r="C298" s="76"/>
      <c r="D298" s="60"/>
    </row>
    <row r="299" spans="1:4">
      <c r="A299" s="67"/>
      <c r="B299" s="76"/>
      <c r="C299" s="76"/>
      <c r="D299" s="60"/>
    </row>
    <row r="300" spans="1:4">
      <c r="A300" s="67"/>
      <c r="B300" s="76"/>
      <c r="C300" s="76"/>
      <c r="D300" s="60"/>
    </row>
    <row r="301" spans="1:4">
      <c r="A301" s="67"/>
      <c r="B301" s="76"/>
      <c r="C301" s="76"/>
      <c r="D301" s="60"/>
    </row>
    <row r="302" spans="1:4">
      <c r="A302" s="67"/>
      <c r="B302" s="76"/>
      <c r="C302" s="76"/>
      <c r="D302" s="60"/>
    </row>
    <row r="303" spans="1:4">
      <c r="A303" s="67"/>
      <c r="B303" s="76"/>
      <c r="C303" s="76"/>
      <c r="D303" s="60"/>
    </row>
    <row r="304" spans="1:4">
      <c r="A304" s="67"/>
      <c r="B304" s="76"/>
      <c r="C304" s="76"/>
      <c r="D304" s="60"/>
    </row>
    <row r="307" spans="1:4">
      <c r="A307" s="61" t="s">
        <v>192</v>
      </c>
      <c r="B307" s="61"/>
      <c r="C307" s="61"/>
      <c r="D307" s="77"/>
    </row>
    <row r="308" spans="1:4">
      <c r="A308" s="67" t="s">
        <v>193</v>
      </c>
      <c r="B308" s="76"/>
      <c r="C308" s="76"/>
      <c r="D308" s="60"/>
    </row>
    <row r="309" spans="1:4">
      <c r="A309" s="67"/>
      <c r="B309" s="76"/>
      <c r="C309" s="76"/>
      <c r="D309" s="60"/>
    </row>
    <row r="310" spans="1:4">
      <c r="A310" s="67"/>
      <c r="B310" s="76"/>
      <c r="C310" s="76"/>
      <c r="D310" s="60"/>
    </row>
    <row r="311" spans="1:4">
      <c r="A311" s="67"/>
      <c r="B311" s="76"/>
      <c r="C311" s="76"/>
      <c r="D311" s="60"/>
    </row>
    <row r="312" spans="1:4">
      <c r="A312" s="67"/>
      <c r="B312" s="76"/>
      <c r="C312" s="76"/>
      <c r="D312" s="60"/>
    </row>
    <row r="313" spans="1:4">
      <c r="A313" s="67"/>
      <c r="B313" s="76"/>
      <c r="C313" s="76"/>
      <c r="D313" s="60"/>
    </row>
    <row r="314" spans="1:4">
      <c r="A314" s="67"/>
      <c r="B314" s="76"/>
      <c r="C314" s="76"/>
      <c r="D314" s="60"/>
    </row>
    <row r="315" spans="1:4">
      <c r="A315" s="67"/>
      <c r="B315" s="76"/>
      <c r="C315" s="76"/>
      <c r="D315" s="60"/>
    </row>
    <row r="316" spans="1:4">
      <c r="A316" s="67"/>
      <c r="B316" s="76"/>
      <c r="C316" s="76"/>
      <c r="D316" s="60"/>
    </row>
    <row r="317" spans="1:4">
      <c r="A317" s="67"/>
      <c r="B317" s="76"/>
      <c r="C317" s="76"/>
      <c r="D317" s="60"/>
    </row>
    <row r="318" spans="1:4">
      <c r="A318" s="67"/>
      <c r="B318" s="76"/>
      <c r="C318" s="76"/>
      <c r="D318" s="60"/>
    </row>
    <row r="319" spans="1:4">
      <c r="A319" s="67"/>
      <c r="B319" s="76"/>
      <c r="C319" s="76"/>
      <c r="D319" s="60"/>
    </row>
    <row r="320" spans="1:4">
      <c r="A320" s="67"/>
      <c r="B320" s="76"/>
      <c r="C320" s="76"/>
      <c r="D320" s="60"/>
    </row>
    <row r="321" spans="1:4">
      <c r="A321" s="67"/>
      <c r="B321" s="76"/>
      <c r="C321" s="76"/>
      <c r="D321" s="60"/>
    </row>
    <row r="322" spans="1:4">
      <c r="A322" s="67"/>
      <c r="B322" s="76"/>
      <c r="C322" s="76"/>
      <c r="D322" s="60"/>
    </row>
    <row r="323" spans="1:4">
      <c r="A323" s="67"/>
      <c r="B323" s="76"/>
      <c r="C323" s="76"/>
      <c r="D323" s="60"/>
    </row>
    <row r="324" spans="1:4">
      <c r="A324" s="67"/>
      <c r="B324" s="76"/>
      <c r="C324" s="76"/>
      <c r="D324" s="60"/>
    </row>
    <row r="325" spans="1:4">
      <c r="A325" s="67"/>
      <c r="B325" s="76"/>
      <c r="C325" s="76"/>
      <c r="D325" s="60"/>
    </row>
    <row r="326" spans="1:4">
      <c r="A326" s="67"/>
      <c r="B326" s="76"/>
      <c r="C326" s="76"/>
      <c r="D326" s="60"/>
    </row>
    <row r="327" spans="1:4">
      <c r="A327" s="67"/>
      <c r="B327" s="76"/>
      <c r="C327" s="76"/>
      <c r="D327" s="60"/>
    </row>
    <row r="328" spans="1:4">
      <c r="A328" s="67"/>
      <c r="B328" s="76"/>
      <c r="C328" s="76"/>
      <c r="D328" s="60"/>
    </row>
    <row r="329" spans="1:4">
      <c r="A329" s="67"/>
      <c r="B329" s="76"/>
      <c r="C329" s="76"/>
      <c r="D329" s="60"/>
    </row>
    <row r="330" spans="1:4">
      <c r="A330" s="67"/>
      <c r="B330" s="76"/>
      <c r="C330" s="76"/>
      <c r="D330" s="60"/>
    </row>
    <row r="331" spans="1:4">
      <c r="A331" s="67"/>
      <c r="B331" s="76"/>
      <c r="C331" s="76"/>
      <c r="D331" s="60"/>
    </row>
    <row r="332" spans="1:4">
      <c r="A332" s="67"/>
      <c r="B332" s="76"/>
      <c r="C332" s="76"/>
      <c r="D332" s="60"/>
    </row>
    <row r="333" spans="1:4">
      <c r="A333" s="67"/>
      <c r="B333" s="76"/>
      <c r="C333" s="76"/>
      <c r="D333" s="60"/>
    </row>
    <row r="334" spans="1:4">
      <c r="A334" s="67"/>
      <c r="B334" s="76"/>
      <c r="C334" s="76"/>
      <c r="D334" s="60"/>
    </row>
    <row r="335" spans="1:4">
      <c r="A335" s="67"/>
      <c r="B335" s="76"/>
      <c r="C335" s="76"/>
      <c r="D335" s="60"/>
    </row>
    <row r="336" spans="1:4">
      <c r="A336" s="67"/>
      <c r="B336" s="76"/>
      <c r="C336" s="76"/>
      <c r="D336" s="60"/>
    </row>
    <row r="337" spans="1:4">
      <c r="A337" s="67"/>
      <c r="B337" s="76"/>
      <c r="C337" s="76"/>
      <c r="D337" s="60"/>
    </row>
    <row r="355" ht="15" customHeight="1"/>
    <row r="370" ht="15" customHeight="1"/>
    <row r="385" ht="30" customHeight="1"/>
    <row r="400" ht="27" customHeight="1"/>
  </sheetData>
  <mergeCells count="316">
    <mergeCell ref="A104:D104"/>
    <mergeCell ref="A105:D105"/>
    <mergeCell ref="A28:D28"/>
    <mergeCell ref="A58:D58"/>
    <mergeCell ref="A59:D59"/>
    <mergeCell ref="A60:D60"/>
    <mergeCell ref="A61:D61"/>
    <mergeCell ref="A49:D49"/>
    <mergeCell ref="A50:D50"/>
    <mergeCell ref="A51:D51"/>
    <mergeCell ref="A52:D52"/>
    <mergeCell ref="A53:D53"/>
    <mergeCell ref="A54:D54"/>
    <mergeCell ref="A68:D68"/>
    <mergeCell ref="A69:D69"/>
    <mergeCell ref="A71:D71"/>
    <mergeCell ref="A72:D72"/>
    <mergeCell ref="A33:D33"/>
    <mergeCell ref="A34:D34"/>
    <mergeCell ref="A43:D43"/>
    <mergeCell ref="A44:D44"/>
    <mergeCell ref="A45:D45"/>
    <mergeCell ref="A75:D75"/>
    <mergeCell ref="A76:D76"/>
    <mergeCell ref="A1:D1"/>
    <mergeCell ref="B2:D2"/>
    <mergeCell ref="B3:D3"/>
    <mergeCell ref="B4:D4"/>
    <mergeCell ref="B5:D5"/>
    <mergeCell ref="B6:D6"/>
    <mergeCell ref="A103:D103"/>
    <mergeCell ref="A56:D56"/>
    <mergeCell ref="A57:D57"/>
    <mergeCell ref="A46:D46"/>
    <mergeCell ref="A47:D47"/>
    <mergeCell ref="A48:D48"/>
    <mergeCell ref="A35:D35"/>
    <mergeCell ref="A36:D36"/>
    <mergeCell ref="A37:D37"/>
    <mergeCell ref="A38:D38"/>
    <mergeCell ref="A39:D39"/>
    <mergeCell ref="A42:D42"/>
    <mergeCell ref="A29:D29"/>
    <mergeCell ref="A30:D30"/>
    <mergeCell ref="A31:D31"/>
    <mergeCell ref="A32:D32"/>
    <mergeCell ref="A62:D62"/>
    <mergeCell ref="A63:D63"/>
    <mergeCell ref="A107:D107"/>
    <mergeCell ref="A9:D9"/>
    <mergeCell ref="A24:D24"/>
    <mergeCell ref="A55:D55"/>
    <mergeCell ref="A70:D70"/>
    <mergeCell ref="A85:D85"/>
    <mergeCell ref="A18:D18"/>
    <mergeCell ref="A19:D19"/>
    <mergeCell ref="A20:D20"/>
    <mergeCell ref="A21:D21"/>
    <mergeCell ref="A10:D10"/>
    <mergeCell ref="A11:D11"/>
    <mergeCell ref="A12:D12"/>
    <mergeCell ref="A13:D13"/>
    <mergeCell ref="A14:D14"/>
    <mergeCell ref="A15:D15"/>
    <mergeCell ref="A16:D16"/>
    <mergeCell ref="A17:D17"/>
    <mergeCell ref="A100:D100"/>
    <mergeCell ref="A22:D22"/>
    <mergeCell ref="A23:D23"/>
    <mergeCell ref="A25:D25"/>
    <mergeCell ref="A26:D26"/>
    <mergeCell ref="A27:D27"/>
    <mergeCell ref="A205:D205"/>
    <mergeCell ref="A220:D220"/>
    <mergeCell ref="A235:D235"/>
    <mergeCell ref="A250:D250"/>
    <mergeCell ref="A265:D265"/>
    <mergeCell ref="A192:D192"/>
    <mergeCell ref="A193:D193"/>
    <mergeCell ref="A194:D194"/>
    <mergeCell ref="A195:D195"/>
    <mergeCell ref="A202:D202"/>
    <mergeCell ref="A203:D203"/>
    <mergeCell ref="A204:D204"/>
    <mergeCell ref="A208:D208"/>
    <mergeCell ref="A209:D209"/>
    <mergeCell ref="A210:D210"/>
    <mergeCell ref="A196:D196"/>
    <mergeCell ref="A197:D197"/>
    <mergeCell ref="A198:D198"/>
    <mergeCell ref="A199:D199"/>
    <mergeCell ref="A200:D200"/>
    <mergeCell ref="A218:D218"/>
    <mergeCell ref="A219:D219"/>
    <mergeCell ref="A201:D201"/>
    <mergeCell ref="A217:D217"/>
    <mergeCell ref="A64:D64"/>
    <mergeCell ref="A65:D65"/>
    <mergeCell ref="A66:D66"/>
    <mergeCell ref="A67:D67"/>
    <mergeCell ref="A83:D83"/>
    <mergeCell ref="A84:D84"/>
    <mergeCell ref="A86:D86"/>
    <mergeCell ref="A87:D87"/>
    <mergeCell ref="A88:D88"/>
    <mergeCell ref="A89:D89"/>
    <mergeCell ref="A77:D77"/>
    <mergeCell ref="A78:D78"/>
    <mergeCell ref="A79:D79"/>
    <mergeCell ref="A80:D80"/>
    <mergeCell ref="A81:D81"/>
    <mergeCell ref="A82:D82"/>
    <mergeCell ref="A96:D96"/>
    <mergeCell ref="A97:D97"/>
    <mergeCell ref="A98:D98"/>
    <mergeCell ref="A99:D99"/>
    <mergeCell ref="A101:D101"/>
    <mergeCell ref="A102:D102"/>
    <mergeCell ref="A90:D90"/>
    <mergeCell ref="A91:D91"/>
    <mergeCell ref="A92:D92"/>
    <mergeCell ref="A93:D93"/>
    <mergeCell ref="A94:D94"/>
    <mergeCell ref="A95:D95"/>
    <mergeCell ref="A114:D114"/>
    <mergeCell ref="A116:D116"/>
    <mergeCell ref="A117:D117"/>
    <mergeCell ref="A118:D118"/>
    <mergeCell ref="A119:D119"/>
    <mergeCell ref="A120:D120"/>
    <mergeCell ref="A108:D108"/>
    <mergeCell ref="A109:D109"/>
    <mergeCell ref="A110:D110"/>
    <mergeCell ref="A111:D111"/>
    <mergeCell ref="A112:D112"/>
    <mergeCell ref="A113:D113"/>
    <mergeCell ref="A115:D115"/>
    <mergeCell ref="A127:D127"/>
    <mergeCell ref="A128:D128"/>
    <mergeCell ref="A129:D129"/>
    <mergeCell ref="A131:D131"/>
    <mergeCell ref="A132:D132"/>
    <mergeCell ref="A133:D133"/>
    <mergeCell ref="A121:D121"/>
    <mergeCell ref="A122:D122"/>
    <mergeCell ref="A123:D123"/>
    <mergeCell ref="A124:D124"/>
    <mergeCell ref="A125:D125"/>
    <mergeCell ref="A126:D126"/>
    <mergeCell ref="A130:D130"/>
    <mergeCell ref="A142:D142"/>
    <mergeCell ref="A143:D143"/>
    <mergeCell ref="A144:D144"/>
    <mergeCell ref="A146:D146"/>
    <mergeCell ref="A147:D147"/>
    <mergeCell ref="A148:D148"/>
    <mergeCell ref="A134:D134"/>
    <mergeCell ref="A135:D135"/>
    <mergeCell ref="A136:D136"/>
    <mergeCell ref="A137:D137"/>
    <mergeCell ref="A140:D140"/>
    <mergeCell ref="A141:D141"/>
    <mergeCell ref="A145:D145"/>
    <mergeCell ref="A155:D155"/>
    <mergeCell ref="A156:D156"/>
    <mergeCell ref="A157:D157"/>
    <mergeCell ref="A158:D158"/>
    <mergeCell ref="A159:D159"/>
    <mergeCell ref="A161:D161"/>
    <mergeCell ref="A149:D149"/>
    <mergeCell ref="A150:D150"/>
    <mergeCell ref="A151:D151"/>
    <mergeCell ref="A152:D152"/>
    <mergeCell ref="A153:D153"/>
    <mergeCell ref="A154:D154"/>
    <mergeCell ref="A160:D160"/>
    <mergeCell ref="A168:D168"/>
    <mergeCell ref="A169:D169"/>
    <mergeCell ref="A170:D170"/>
    <mergeCell ref="A176:D176"/>
    <mergeCell ref="A177:D177"/>
    <mergeCell ref="A178:D178"/>
    <mergeCell ref="A162:D162"/>
    <mergeCell ref="A163:D163"/>
    <mergeCell ref="A164:D164"/>
    <mergeCell ref="A165:D165"/>
    <mergeCell ref="A166:D166"/>
    <mergeCell ref="A167:D167"/>
    <mergeCell ref="A175:D175"/>
    <mergeCell ref="A185:D185"/>
    <mergeCell ref="A186:D186"/>
    <mergeCell ref="A187:D187"/>
    <mergeCell ref="A188:D188"/>
    <mergeCell ref="A189:D189"/>
    <mergeCell ref="A191:D191"/>
    <mergeCell ref="A179:D179"/>
    <mergeCell ref="A180:D180"/>
    <mergeCell ref="A181:D181"/>
    <mergeCell ref="A182:D182"/>
    <mergeCell ref="A183:D183"/>
    <mergeCell ref="A184:D184"/>
    <mergeCell ref="A190:D190"/>
    <mergeCell ref="A221:D221"/>
    <mergeCell ref="A222:D222"/>
    <mergeCell ref="A223:D223"/>
    <mergeCell ref="A211:D211"/>
    <mergeCell ref="A212:D212"/>
    <mergeCell ref="A213:D213"/>
    <mergeCell ref="A214:D214"/>
    <mergeCell ref="A215:D215"/>
    <mergeCell ref="A216:D216"/>
    <mergeCell ref="A230:D230"/>
    <mergeCell ref="A231:D231"/>
    <mergeCell ref="A232:D232"/>
    <mergeCell ref="A233:D233"/>
    <mergeCell ref="A234:D234"/>
    <mergeCell ref="A236:D236"/>
    <mergeCell ref="A224:D224"/>
    <mergeCell ref="A225:D225"/>
    <mergeCell ref="A226:D226"/>
    <mergeCell ref="A227:D227"/>
    <mergeCell ref="A228:D228"/>
    <mergeCell ref="A229:D229"/>
    <mergeCell ref="A245:D245"/>
    <mergeCell ref="A246:D246"/>
    <mergeCell ref="A247:D247"/>
    <mergeCell ref="A248:D248"/>
    <mergeCell ref="A249:D249"/>
    <mergeCell ref="A251:D251"/>
    <mergeCell ref="A237:D237"/>
    <mergeCell ref="A238:D238"/>
    <mergeCell ref="A241:D241"/>
    <mergeCell ref="A242:D242"/>
    <mergeCell ref="A243:D243"/>
    <mergeCell ref="A244:D244"/>
    <mergeCell ref="A258:D258"/>
    <mergeCell ref="A259:D259"/>
    <mergeCell ref="A260:D260"/>
    <mergeCell ref="A261:D261"/>
    <mergeCell ref="A262:D262"/>
    <mergeCell ref="A263:D263"/>
    <mergeCell ref="A252:D252"/>
    <mergeCell ref="A253:D253"/>
    <mergeCell ref="A254:D254"/>
    <mergeCell ref="A255:D255"/>
    <mergeCell ref="A256:D256"/>
    <mergeCell ref="A257:D257"/>
    <mergeCell ref="A271:D271"/>
    <mergeCell ref="A274:D274"/>
    <mergeCell ref="A275:D275"/>
    <mergeCell ref="A276:D276"/>
    <mergeCell ref="A277:D277"/>
    <mergeCell ref="A278:D278"/>
    <mergeCell ref="A264:D264"/>
    <mergeCell ref="A266:D266"/>
    <mergeCell ref="A267:D267"/>
    <mergeCell ref="A268:D268"/>
    <mergeCell ref="A269:D269"/>
    <mergeCell ref="A270:D270"/>
    <mergeCell ref="A290:D290"/>
    <mergeCell ref="A291:D291"/>
    <mergeCell ref="A292:D292"/>
    <mergeCell ref="A293:D293"/>
    <mergeCell ref="A294:D294"/>
    <mergeCell ref="A296:D296"/>
    <mergeCell ref="A279:D279"/>
    <mergeCell ref="A281:D281"/>
    <mergeCell ref="A282:D282"/>
    <mergeCell ref="A283:D283"/>
    <mergeCell ref="A284:D284"/>
    <mergeCell ref="A285:D285"/>
    <mergeCell ref="A295:D295"/>
    <mergeCell ref="A286:D286"/>
    <mergeCell ref="A287:D287"/>
    <mergeCell ref="A288:D288"/>
    <mergeCell ref="A289:D289"/>
    <mergeCell ref="A280:D280"/>
    <mergeCell ref="A303:D303"/>
    <mergeCell ref="A304:D304"/>
    <mergeCell ref="A307:D307"/>
    <mergeCell ref="A308:D308"/>
    <mergeCell ref="A309:D309"/>
    <mergeCell ref="A311:D311"/>
    <mergeCell ref="A297:D297"/>
    <mergeCell ref="A298:D298"/>
    <mergeCell ref="A299:D299"/>
    <mergeCell ref="A300:D300"/>
    <mergeCell ref="A301:D301"/>
    <mergeCell ref="A302:D302"/>
    <mergeCell ref="A310:D310"/>
    <mergeCell ref="A318:D318"/>
    <mergeCell ref="A319:D319"/>
    <mergeCell ref="A320:D320"/>
    <mergeCell ref="A321:D321"/>
    <mergeCell ref="A322:D322"/>
    <mergeCell ref="A323:D323"/>
    <mergeCell ref="A312:D312"/>
    <mergeCell ref="A313:D313"/>
    <mergeCell ref="A314:D314"/>
    <mergeCell ref="A315:D315"/>
    <mergeCell ref="A316:D316"/>
    <mergeCell ref="A317:D317"/>
    <mergeCell ref="A337:D337"/>
    <mergeCell ref="A331:D331"/>
    <mergeCell ref="A332:D332"/>
    <mergeCell ref="A333:D333"/>
    <mergeCell ref="A334:D334"/>
    <mergeCell ref="A335:D335"/>
    <mergeCell ref="A336:D336"/>
    <mergeCell ref="A324:D324"/>
    <mergeCell ref="A326:D326"/>
    <mergeCell ref="A327:D327"/>
    <mergeCell ref="A328:D328"/>
    <mergeCell ref="A329:D329"/>
    <mergeCell ref="A330:D330"/>
    <mergeCell ref="A325:D32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1594"/>
  <sheetViews>
    <sheetView topLeftCell="A10" zoomScaleNormal="100" workbookViewId="0">
      <selection activeCell="D27" sqref="D27"/>
    </sheetView>
  </sheetViews>
  <sheetFormatPr defaultRowHeight="15"/>
  <cols>
    <col min="1" max="1" width="25.7109375" style="1" customWidth="1"/>
    <col min="2" max="3" width="19.7109375" customWidth="1"/>
    <col min="4" max="4" width="19.7109375" style="9" customWidth="1"/>
  </cols>
  <sheetData>
    <row r="1" spans="1:4">
      <c r="A1" s="69" t="str">
        <f>'Survey Tool'!A1:C1</f>
        <v>Residents Survey Experience</v>
      </c>
      <c r="B1" s="69"/>
      <c r="C1" s="69"/>
      <c r="D1" s="70"/>
    </row>
    <row r="2" spans="1:4">
      <c r="A2" s="4" t="str">
        <f>'Survey Tool'!A2</f>
        <v>CHO</v>
      </c>
      <c r="B2" s="66">
        <f>'Survey Tool'!B2:C2</f>
        <v>0</v>
      </c>
      <c r="C2" s="66"/>
      <c r="D2" s="62"/>
    </row>
    <row r="3" spans="1:4">
      <c r="A3" s="4" t="str">
        <f>'Survey Tool'!A3</f>
        <v>Designated Centre</v>
      </c>
      <c r="B3" s="66">
        <f>'Survey Tool'!B3:C3</f>
        <v>0</v>
      </c>
      <c r="C3" s="66"/>
      <c r="D3" s="62"/>
    </row>
    <row r="4" spans="1:4">
      <c r="A4" s="4" t="str">
        <f>'Survey Tool'!A4</f>
        <v>OSV No.</v>
      </c>
      <c r="B4" s="66">
        <f>'Survey Tool'!B4:C4</f>
        <v>0</v>
      </c>
      <c r="C4" s="66"/>
      <c r="D4" s="62"/>
    </row>
    <row r="5" spans="1:4">
      <c r="A5" s="4" t="str">
        <f>'Survey Tool'!A5</f>
        <v>Date</v>
      </c>
      <c r="B5" s="66" t="str">
        <f>'Survey Tool'!B5:C5</f>
        <v>Quarter 2 2018</v>
      </c>
      <c r="C5" s="66"/>
      <c r="D5" s="62"/>
    </row>
    <row r="6" spans="1:4">
      <c r="A6" s="4" t="str">
        <f>'Survey Tool'!A6</f>
        <v>No in Survey</v>
      </c>
      <c r="B6" s="66">
        <f>'Survey Tool'!B6:C6</f>
        <v>6</v>
      </c>
      <c r="C6" s="66"/>
      <c r="D6" s="62"/>
    </row>
    <row r="7" spans="1:4">
      <c r="A7" s="4" t="s">
        <v>113</v>
      </c>
      <c r="B7" s="66" t="s">
        <v>77</v>
      </c>
      <c r="C7" s="66"/>
      <c r="D7" s="62"/>
    </row>
    <row r="8" spans="1:4" ht="30">
      <c r="A8" s="4" t="s">
        <v>76</v>
      </c>
      <c r="B8" s="66">
        <f>COUNTIF(Table2[How comfortable is your centre? ],Condition_1)</f>
        <v>0</v>
      </c>
      <c r="C8" s="66"/>
      <c r="D8" s="62"/>
    </row>
    <row r="10" spans="1:4">
      <c r="A10" s="66" t="str">
        <f>'Validation List'!B3</f>
        <v xml:space="preserve">How comfortable is your centre? </v>
      </c>
      <c r="B10" s="66"/>
      <c r="C10" s="66"/>
      <c r="D10" s="62"/>
    </row>
    <row r="11" spans="1:4">
      <c r="A11" s="5"/>
      <c r="B11" s="3" t="s">
        <v>37</v>
      </c>
      <c r="C11" s="3" t="s">
        <v>38</v>
      </c>
      <c r="D11" s="10" t="s">
        <v>40</v>
      </c>
    </row>
    <row r="12" spans="1:4">
      <c r="A12" s="5" t="str">
        <f>'Validation List'!B6</f>
        <v>Happy</v>
      </c>
      <c r="B12" s="3">
        <f>COUNTIF(Table2[How comfortable is your centre? ],A12)</f>
        <v>0</v>
      </c>
      <c r="C12" s="3">
        <f t="shared" ref="C12:C21" si="0">B12/No_in_Audit*100</f>
        <v>0</v>
      </c>
      <c r="D12" s="10">
        <f>B12/(No_in_Audit-COUNTIF(Table2[How comfortable is your centre? ],"Not answered"))*100</f>
        <v>0</v>
      </c>
    </row>
    <row r="13" spans="1:4">
      <c r="A13" s="5" t="str">
        <f>'Validation List'!B7</f>
        <v>Neutral</v>
      </c>
      <c r="B13" s="3">
        <f>COUNTIF(Table2[How comfortable is your centre? ],A13)</f>
        <v>0</v>
      </c>
      <c r="C13" s="3">
        <f t="shared" si="0"/>
        <v>0</v>
      </c>
      <c r="D13" s="10">
        <f>B13/(No_in_Audit-COUNTIF(Table2[How comfortable is your centre? ],"Not answered"))*100</f>
        <v>0</v>
      </c>
    </row>
    <row r="14" spans="1:4">
      <c r="A14" s="5" t="str">
        <f>'Validation List'!B8</f>
        <v>Unhappy</v>
      </c>
      <c r="B14" s="3">
        <f>COUNTIF(Table2[How comfortable is your centre? ],A14)</f>
        <v>0</v>
      </c>
      <c r="C14" s="3">
        <f t="shared" si="0"/>
        <v>0</v>
      </c>
      <c r="D14" s="10">
        <f>B14/(No_in_Audit-COUNTIF(Table2[How comfortable is your centre? ],"Not answered"))*100</f>
        <v>0</v>
      </c>
    </row>
    <row r="15" spans="1:4">
      <c r="A15" s="5" t="str">
        <f>'Validation List'!B9</f>
        <v>.</v>
      </c>
      <c r="B15" s="3">
        <f>COUNTIF(Table2[How comfortable is your centre? ],A15)</f>
        <v>0</v>
      </c>
      <c r="C15" s="3">
        <f t="shared" si="0"/>
        <v>0</v>
      </c>
      <c r="D15" s="10">
        <f>B15/(No_in_Audit-COUNTIF(Table2[How comfortable is your centre? ],"Not answered"))*100</f>
        <v>0</v>
      </c>
    </row>
    <row r="16" spans="1:4">
      <c r="A16" s="5" t="str">
        <f>'Validation List'!B10</f>
        <v>.</v>
      </c>
      <c r="B16" s="3">
        <f>COUNTIF(Table2[How comfortable is your centre? ],A16)</f>
        <v>0</v>
      </c>
      <c r="C16" s="3">
        <f t="shared" si="0"/>
        <v>0</v>
      </c>
      <c r="D16" s="10">
        <f>B16/(No_in_Audit-COUNTIF(Table2[How comfortable is your centre? ],"Not answered"))*100</f>
        <v>0</v>
      </c>
    </row>
    <row r="17" spans="1:4">
      <c r="A17" s="5" t="str">
        <f>'Validation List'!B11</f>
        <v>.</v>
      </c>
      <c r="B17" s="3">
        <f>COUNTIF(Table2[How comfortable is your centre? ],A17)</f>
        <v>0</v>
      </c>
      <c r="C17" s="3">
        <f t="shared" si="0"/>
        <v>0</v>
      </c>
      <c r="D17" s="10">
        <f>B17/(No_in_Audit-COUNTIF(Table2[How comfortable is your centre? ],"Not answered"))*100</f>
        <v>0</v>
      </c>
    </row>
    <row r="18" spans="1:4">
      <c r="A18" s="5" t="str">
        <f>'Validation List'!B12</f>
        <v>.</v>
      </c>
      <c r="B18" s="3">
        <f>COUNTIF(Table2[How comfortable is your centre? ],A18)</f>
        <v>0</v>
      </c>
      <c r="C18" s="3">
        <f t="shared" si="0"/>
        <v>0</v>
      </c>
      <c r="D18" s="10">
        <f>B18/(No_in_Audit-COUNTIF(Table2[How comfortable is your centre? ],"Not answered"))*100</f>
        <v>0</v>
      </c>
    </row>
    <row r="19" spans="1:4">
      <c r="A19" s="5" t="str">
        <f>'Validation List'!B13</f>
        <v>.</v>
      </c>
      <c r="B19" s="3">
        <f>COUNTIF(Table2[How comfortable is your centre? ],A19)</f>
        <v>0</v>
      </c>
      <c r="C19" s="3">
        <f t="shared" si="0"/>
        <v>0</v>
      </c>
      <c r="D19" s="10">
        <f>B19/(No_in_Audit-COUNTIF(Table2[How comfortable is your centre? ],"Not answered"))*100</f>
        <v>0</v>
      </c>
    </row>
    <row r="20" spans="1:4">
      <c r="A20" s="5" t="str">
        <f>'Validation List'!B14</f>
        <v>.</v>
      </c>
      <c r="B20" s="3">
        <f>COUNTIF(Table2[How comfortable is your centre? ],A20)</f>
        <v>0</v>
      </c>
      <c r="C20" s="3">
        <f t="shared" si="0"/>
        <v>0</v>
      </c>
      <c r="D20" s="10">
        <f>B20/(No_in_Audit-COUNTIF(Table2[How comfortable is your centre? ],"Not answered"))*100</f>
        <v>0</v>
      </c>
    </row>
    <row r="21" spans="1:4" ht="15" customHeight="1">
      <c r="A21" s="5" t="str">
        <f>'Validation List'!B15</f>
        <v>Not answered</v>
      </c>
      <c r="B21" s="3">
        <f>COUNTIF(Table2[How comfortable is your centre? ],A21)</f>
        <v>0</v>
      </c>
      <c r="C21" s="3">
        <f t="shared" si="0"/>
        <v>0</v>
      </c>
      <c r="D21" s="10"/>
    </row>
    <row r="22" spans="1:4">
      <c r="A22" s="5" t="s">
        <v>39</v>
      </c>
      <c r="B22" s="3">
        <f>SUM(B12:B21)</f>
        <v>0</v>
      </c>
      <c r="C22" s="3">
        <f>SUM(C12:C21)</f>
        <v>0</v>
      </c>
      <c r="D22" s="10">
        <f>SUM(D12:D21)</f>
        <v>0</v>
      </c>
    </row>
    <row r="25" spans="1:4">
      <c r="A25" s="67" t="str">
        <f>'Validation List'!C3</f>
        <v xml:space="preserve">How warm is your centre? </v>
      </c>
      <c r="B25" s="68"/>
      <c r="C25" s="68"/>
      <c r="D25" s="60"/>
    </row>
    <row r="26" spans="1:4">
      <c r="A26" s="5"/>
      <c r="B26" s="3" t="s">
        <v>37</v>
      </c>
      <c r="C26" s="3" t="s">
        <v>38</v>
      </c>
      <c r="D26" s="10" t="s">
        <v>40</v>
      </c>
    </row>
    <row r="27" spans="1:4" ht="30" customHeight="1">
      <c r="A27" s="5" t="str">
        <f>'Validation List'!C6</f>
        <v>Happy</v>
      </c>
      <c r="B27" s="3">
        <f>COUNTIFS(Table2[How comfortable is your centre? ],Condition_1,Table2[How warm is your centre? ],A27)</f>
        <v>0</v>
      </c>
      <c r="C27" s="3" t="e">
        <f t="shared" ref="C27:C36" si="1">B27/No_who_answered_survey*100</f>
        <v>#DIV/0!</v>
      </c>
      <c r="D27" s="10" t="e">
        <f>B27/(No_who_answered_survey-COUNTIFS(Table2[How comfortable is your centre? ],Condition_1,Table2[How comfortable is your centre? ],"Not answered"))*100</f>
        <v>#DIV/0!</v>
      </c>
    </row>
    <row r="28" spans="1:4" ht="30" customHeight="1">
      <c r="A28" s="5" t="str">
        <f>'Validation List'!C7</f>
        <v>Neutral</v>
      </c>
      <c r="B28" s="3">
        <f>COUNTIFS(Table2[How comfortable is your centre? ],Condition_1,Table2[How warm is your centre? ],A28)</f>
        <v>0</v>
      </c>
      <c r="C28" s="3" t="e">
        <f t="shared" si="1"/>
        <v>#DIV/0!</v>
      </c>
      <c r="D28" s="10" t="e">
        <f>B28/(No_who_answered_survey-COUNTIFS(Table2[How comfortable is your centre? ],Condition_1,Table2[How comfortable is your centre? ],"Not answered"))*100</f>
        <v>#DIV/0!</v>
      </c>
    </row>
    <row r="29" spans="1:4" ht="30" customHeight="1">
      <c r="A29" s="5" t="str">
        <f>'Validation List'!C8</f>
        <v>Unhappy</v>
      </c>
      <c r="B29" s="3">
        <f>COUNTIFS(Table2[How comfortable is your centre? ],Condition_1,Table2[How warm is your centre? ],A29)</f>
        <v>0</v>
      </c>
      <c r="C29" s="3" t="e">
        <f t="shared" si="1"/>
        <v>#DIV/0!</v>
      </c>
      <c r="D29" s="10" t="e">
        <f>B29/(No_who_answered_survey-COUNTIFS(Table2[How comfortable is your centre? ],Condition_1,Table2[How comfortable is your centre? ],"Not answered"))*100</f>
        <v>#DIV/0!</v>
      </c>
    </row>
    <row r="30" spans="1:4">
      <c r="A30" s="5" t="str">
        <f>'Validation List'!C9</f>
        <v>.</v>
      </c>
      <c r="B30" s="3">
        <f>COUNTIFS(Table2[How comfortable is your centre? ],Condition_1,Table2[How warm is your centre? ],A30)</f>
        <v>0</v>
      </c>
      <c r="C30" s="3" t="e">
        <f t="shared" si="1"/>
        <v>#DIV/0!</v>
      </c>
      <c r="D30" s="10" t="e">
        <f>B30/(No_who_answered_survey-COUNTIFS(Table2[How comfortable is your centre? ],Condition_1,Table2[How comfortable is your centre? ],"Not answered"))*100</f>
        <v>#DIV/0!</v>
      </c>
    </row>
    <row r="31" spans="1:4">
      <c r="A31" s="5" t="str">
        <f>'Validation List'!C10</f>
        <v>.</v>
      </c>
      <c r="B31" s="3">
        <f>COUNTIFS(Table2[How comfortable is your centre? ],Condition_1,Table2[How warm is your centre? ],A31)</f>
        <v>0</v>
      </c>
      <c r="C31" s="3" t="e">
        <f t="shared" si="1"/>
        <v>#DIV/0!</v>
      </c>
      <c r="D31" s="10" t="e">
        <f>B31/(No_who_answered_survey-COUNTIFS(Table2[How comfortable is your centre? ],Condition_1,Table2[How comfortable is your centre? ],"Not answered"))*100</f>
        <v>#DIV/0!</v>
      </c>
    </row>
    <row r="32" spans="1:4">
      <c r="A32" s="5" t="str">
        <f>'Validation List'!C11</f>
        <v>.</v>
      </c>
      <c r="B32" s="3">
        <f>COUNTIFS(Table2[How comfortable is your centre? ],Condition_1,Table2[How warm is your centre? ],A32)</f>
        <v>0</v>
      </c>
      <c r="C32" s="3" t="e">
        <f t="shared" si="1"/>
        <v>#DIV/0!</v>
      </c>
      <c r="D32" s="10" t="e">
        <f>B32/(No_who_answered_survey-COUNTIFS(Table2[How comfortable is your centre? ],Condition_1,Table2[How comfortable is your centre? ],"Not answered"))*100</f>
        <v>#DIV/0!</v>
      </c>
    </row>
    <row r="33" spans="1:4">
      <c r="A33" s="5" t="str">
        <f>'Validation List'!C12</f>
        <v>.</v>
      </c>
      <c r="B33" s="3">
        <f>COUNTIFS(Table2[How comfortable is your centre? ],Condition_1,Table2[How warm is your centre? ],A33)</f>
        <v>0</v>
      </c>
      <c r="C33" s="3" t="e">
        <f t="shared" si="1"/>
        <v>#DIV/0!</v>
      </c>
      <c r="D33" s="10" t="e">
        <f>B33/(No_who_answered_survey-COUNTIFS(Table2[How comfortable is your centre? ],Condition_1,Table2[How comfortable is your centre? ],"Not answered"))*100</f>
        <v>#DIV/0!</v>
      </c>
    </row>
    <row r="34" spans="1:4">
      <c r="A34" s="5" t="str">
        <f>'Validation List'!C13</f>
        <v>.</v>
      </c>
      <c r="B34" s="3">
        <f>COUNTIFS(Table2[How comfortable is your centre? ],Condition_1,Table2[How warm is your centre? ],A34)</f>
        <v>0</v>
      </c>
      <c r="C34" s="3" t="e">
        <f t="shared" si="1"/>
        <v>#DIV/0!</v>
      </c>
      <c r="D34" s="10" t="e">
        <f>B34/(No_who_answered_survey-COUNTIFS(Table2[How comfortable is your centre? ],Condition_1,Table2[How comfortable is your centre? ],"Not answered"))*100</f>
        <v>#DIV/0!</v>
      </c>
    </row>
    <row r="35" spans="1:4">
      <c r="A35" s="5" t="str">
        <f>'Validation List'!C14</f>
        <v>.</v>
      </c>
      <c r="B35" s="3">
        <f>COUNTIFS(Table2[How comfortable is your centre? ],Condition_1,Table2[How warm is your centre? ],A35)</f>
        <v>0</v>
      </c>
      <c r="C35" s="3" t="e">
        <f t="shared" si="1"/>
        <v>#DIV/0!</v>
      </c>
      <c r="D35" s="10" t="e">
        <f>B35/(No_who_answered_survey-COUNTIFS(Table2[How comfortable is your centre? ],Condition_1,Table2[How comfortable is your centre? ],"Not answered"))*100</f>
        <v>#DIV/0!</v>
      </c>
    </row>
    <row r="36" spans="1:4">
      <c r="A36" s="5" t="str">
        <f>'Validation List'!C15</f>
        <v>Not answered</v>
      </c>
      <c r="B36" s="3">
        <f>COUNTIFS(Table2[How comfortable is your centre? ],Condition_1,Table2[How warm is your centre? ],A36)</f>
        <v>0</v>
      </c>
      <c r="C36" s="3" t="e">
        <f t="shared" si="1"/>
        <v>#DIV/0!</v>
      </c>
      <c r="D36" s="10"/>
    </row>
    <row r="37" spans="1:4">
      <c r="A37" s="5" t="s">
        <v>39</v>
      </c>
      <c r="B37" s="3">
        <f>SUM(B27:B36)</f>
        <v>0</v>
      </c>
      <c r="C37" s="3" t="e">
        <f>SUM(C27:C36)</f>
        <v>#DIV/0!</v>
      </c>
      <c r="D37" s="10" t="e">
        <f>SUM(D27:D36)</f>
        <v>#DIV/0!</v>
      </c>
    </row>
    <row r="41" spans="1:4">
      <c r="A41" s="67" t="str">
        <f>'Validation List'!D3</f>
        <v>Your access to shared areas where you can spend time with other residents or visitors?</v>
      </c>
      <c r="B41" s="68"/>
      <c r="C41" s="68"/>
      <c r="D41" s="60"/>
    </row>
    <row r="42" spans="1:4">
      <c r="A42" s="5"/>
      <c r="B42" s="3" t="s">
        <v>37</v>
      </c>
      <c r="C42" s="3" t="s">
        <v>38</v>
      </c>
      <c r="D42" s="10" t="s">
        <v>40</v>
      </c>
    </row>
    <row r="43" spans="1:4">
      <c r="A43" s="5" t="str">
        <f>'Validation List'!D6</f>
        <v>Happy</v>
      </c>
      <c r="B43" s="3">
        <f>COUNTIFS(Table2[How comfortable is your centre? ],Condition_1,Table2[Your access to shared areas where you can spend time with other residents or visitors?],A43)</f>
        <v>0</v>
      </c>
      <c r="C43" s="3" t="e">
        <f t="shared" ref="C43:C52" si="2">B43/No_who_answered_survey*100</f>
        <v>#DIV/0!</v>
      </c>
      <c r="D43" s="10" t="e">
        <f>B43/(No_who_answered_survey-COUNTIFS(Table2[How comfortable is your centre? ],Condition_1,Table2[Your access to shared areas where you can spend time with other residents or visitors?],"Not answered"))*100</f>
        <v>#DIV/0!</v>
      </c>
    </row>
    <row r="44" spans="1:4">
      <c r="A44" s="5" t="str">
        <f>'Validation List'!D7</f>
        <v>Neutral</v>
      </c>
      <c r="B44" s="3">
        <f>COUNTIFS(Table2[How comfortable is your centre? ],Condition_1,Table2[Your access to shared areas where you can spend time with other residents or visitors?],A44)</f>
        <v>0</v>
      </c>
      <c r="C44" s="3" t="e">
        <f t="shared" si="2"/>
        <v>#DIV/0!</v>
      </c>
      <c r="D44" s="10" t="e">
        <f>B44/(No_who_answered_survey-COUNTIFS(Table2[How comfortable is your centre? ],Condition_1,Table2[Your access to shared areas where you can spend time with other residents or visitors?],"Not answered"))*100</f>
        <v>#DIV/0!</v>
      </c>
    </row>
    <row r="45" spans="1:4">
      <c r="A45" s="5" t="str">
        <f>'Validation List'!D8</f>
        <v>Unhappy</v>
      </c>
      <c r="B45" s="3">
        <f>COUNTIFS(Table2[How comfortable is your centre? ],Condition_1,Table2[Your access to shared areas where you can spend time with other residents or visitors?],A45)</f>
        <v>0</v>
      </c>
      <c r="C45" s="3" t="e">
        <f t="shared" si="2"/>
        <v>#DIV/0!</v>
      </c>
      <c r="D45" s="10" t="e">
        <f>B45/(No_who_answered_survey-COUNTIFS(Table2[How comfortable is your centre? ],Condition_1,Table2[Your access to shared areas where you can spend time with other residents or visitors?],"Not answered"))*100</f>
        <v>#DIV/0!</v>
      </c>
    </row>
    <row r="46" spans="1:4">
      <c r="A46" s="5" t="str">
        <f>'Validation List'!D9</f>
        <v>.</v>
      </c>
      <c r="B46" s="3">
        <f>COUNTIFS(Table2[How comfortable is your centre? ],Condition_1,Table2[Your access to shared areas where you can spend time with other residents or visitors?],A46)</f>
        <v>0</v>
      </c>
      <c r="C46" s="3" t="e">
        <f t="shared" si="2"/>
        <v>#DIV/0!</v>
      </c>
      <c r="D46" s="10" t="e">
        <f>B46/(No_who_answered_survey-COUNTIFS(Table2[How comfortable is your centre? ],Condition_1,Table2[Your access to shared areas where you can spend time with other residents or visitors?],"Not answered"))*100</f>
        <v>#DIV/0!</v>
      </c>
    </row>
    <row r="47" spans="1:4">
      <c r="A47" s="5" t="str">
        <f>'Validation List'!D10</f>
        <v>.</v>
      </c>
      <c r="B47" s="3">
        <f>COUNTIFS(Table2[How comfortable is your centre? ],Condition_1,Table2[Your access to shared areas where you can spend time with other residents or visitors?],A47)</f>
        <v>0</v>
      </c>
      <c r="C47" s="3" t="e">
        <f t="shared" si="2"/>
        <v>#DIV/0!</v>
      </c>
      <c r="D47" s="10" t="e">
        <f>B47/(No_who_answered_survey-COUNTIFS(Table2[How comfortable is your centre? ],Condition_1,Table2[Your access to shared areas where you can spend time with other residents or visitors?],"Not answered"))*100</f>
        <v>#DIV/0!</v>
      </c>
    </row>
    <row r="48" spans="1:4">
      <c r="A48" s="5" t="str">
        <f>'Validation List'!D11</f>
        <v>.</v>
      </c>
      <c r="B48" s="3">
        <f>COUNTIFS(Table2[How comfortable is your centre? ],Condition_1,Table2[Your access to shared areas where you can spend time with other residents or visitors?],A48)</f>
        <v>0</v>
      </c>
      <c r="C48" s="3" t="e">
        <f t="shared" si="2"/>
        <v>#DIV/0!</v>
      </c>
      <c r="D48" s="10" t="e">
        <f>B48/(No_who_answered_survey-COUNTIFS(Table2[How comfortable is your centre? ],Condition_1,Table2[Your access to shared areas where you can spend time with other residents or visitors?],"Not answered"))*100</f>
        <v>#DIV/0!</v>
      </c>
    </row>
    <row r="49" spans="1:4">
      <c r="A49" s="5" t="str">
        <f>'Validation List'!D12</f>
        <v>.</v>
      </c>
      <c r="B49" s="3">
        <f>COUNTIFS(Table2[How comfortable is your centre? ],Condition_1,Table2[Your access to shared areas where you can spend time with other residents or visitors?],A49)</f>
        <v>0</v>
      </c>
      <c r="C49" s="3" t="e">
        <f t="shared" si="2"/>
        <v>#DIV/0!</v>
      </c>
      <c r="D49" s="10" t="e">
        <f>B49/(No_who_answered_survey-COUNTIFS(Table2[How comfortable is your centre? ],Condition_1,Table2[Your access to shared areas where you can spend time with other residents or visitors?],"Not answered"))*100</f>
        <v>#DIV/0!</v>
      </c>
    </row>
    <row r="50" spans="1:4">
      <c r="A50" s="5" t="str">
        <f>'Validation List'!D13</f>
        <v>.</v>
      </c>
      <c r="B50" s="3">
        <f>COUNTIFS(Table2[How comfortable is your centre? ],Condition_1,Table2[Your access to shared areas where you can spend time with other residents or visitors?],A50)</f>
        <v>0</v>
      </c>
      <c r="C50" s="3" t="e">
        <f t="shared" si="2"/>
        <v>#DIV/0!</v>
      </c>
      <c r="D50" s="10" t="e">
        <f>B50/(No_who_answered_survey-COUNTIFS(Table2[How comfortable is your centre? ],Condition_1,Table2[Your access to shared areas where you can spend time with other residents or visitors?],"Not answered"))*100</f>
        <v>#DIV/0!</v>
      </c>
    </row>
    <row r="51" spans="1:4">
      <c r="A51" s="5" t="str">
        <f>'Validation List'!D14</f>
        <v>.</v>
      </c>
      <c r="B51" s="3">
        <f>COUNTIFS(Table2[How comfortable is your centre? ],Condition_1,Table2[Your access to shared areas where you can spend time with other residents or visitors?],A51)</f>
        <v>0</v>
      </c>
      <c r="C51" s="3" t="e">
        <f t="shared" si="2"/>
        <v>#DIV/0!</v>
      </c>
      <c r="D51" s="10" t="e">
        <f>B51/(No_who_answered_survey-COUNTIFS(Table2[How comfortable is your centre? ],Condition_1,Table2[Your access to shared areas where you can spend time with other residents or visitors?],"Not answered"))*100</f>
        <v>#DIV/0!</v>
      </c>
    </row>
    <row r="52" spans="1:4">
      <c r="A52" s="5" t="str">
        <f>'Validation List'!D15</f>
        <v>Not answered</v>
      </c>
      <c r="B52" s="3">
        <f>COUNTIFS(Table2[How comfortable is your centre? ],Condition_1,Table2[Your access to shared areas where you can spend time with other residents or visitors?],A52)</f>
        <v>0</v>
      </c>
      <c r="C52" s="3" t="e">
        <f t="shared" si="2"/>
        <v>#DIV/0!</v>
      </c>
      <c r="D52" s="10"/>
    </row>
    <row r="53" spans="1:4">
      <c r="A53" s="5" t="s">
        <v>39</v>
      </c>
      <c r="B53" s="3">
        <f>SUM(B43:B52)</f>
        <v>0</v>
      </c>
      <c r="C53" s="3" t="e">
        <f>SUM(C43:C52)</f>
        <v>#DIV/0!</v>
      </c>
      <c r="D53" s="10" t="e">
        <f>SUM(D43:D52)</f>
        <v>#DIV/0!</v>
      </c>
    </row>
    <row r="56" spans="1:4" s="1" customFormat="1" ht="29.25" customHeight="1">
      <c r="A56" s="58" t="str">
        <f>'Validation List'!E3</f>
        <v>Your access to a garden or outdoor area?</v>
      </c>
      <c r="B56" s="59"/>
      <c r="C56" s="59"/>
      <c r="D56" s="65"/>
    </row>
    <row r="57" spans="1:4">
      <c r="A57" s="5"/>
      <c r="B57" s="3" t="s">
        <v>37</v>
      </c>
      <c r="C57" s="3" t="s">
        <v>38</v>
      </c>
      <c r="D57" s="10" t="s">
        <v>40</v>
      </c>
    </row>
    <row r="58" spans="1:4">
      <c r="A58" s="5" t="str">
        <f>'Validation List'!E6</f>
        <v>Happy</v>
      </c>
      <c r="B58" s="3">
        <f>COUNTIFS(Table2[How comfortable is your centre? ],Condition_1,Table2[Your access to a garden or outdoor area?],A58)</f>
        <v>0</v>
      </c>
      <c r="C58" s="3" t="e">
        <f t="shared" ref="C58" si="3">B58/No_who_answered_survey*100</f>
        <v>#DIV/0!</v>
      </c>
      <c r="D58" s="10" t="e">
        <f>B58/(No_who_answered_survey-COUNTIFS(Table2[How comfortable is your centre? ],Condition_1,Table2[Your access to a garden or outdoor area?],"Not answered"))*100</f>
        <v>#DIV/0!</v>
      </c>
    </row>
    <row r="59" spans="1:4">
      <c r="A59" s="5" t="str">
        <f>'Validation List'!E7</f>
        <v>Neutral</v>
      </c>
      <c r="B59" s="3">
        <f>COUNTIFS(Table2[How comfortable is your centre? ],Condition_1,Table2[Your access to a garden or outdoor area?],A59)</f>
        <v>0</v>
      </c>
      <c r="C59" s="3" t="e">
        <f t="shared" ref="C59:C67" si="4">B59/No_who_answered_survey*100</f>
        <v>#DIV/0!</v>
      </c>
      <c r="D59" s="10" t="e">
        <f>B59/(No_who_answered_survey-COUNTIFS(Table2[How comfortable is your centre? ],Condition_1,Table2[Your access to a garden or outdoor area?],"Not answered"))*100</f>
        <v>#DIV/0!</v>
      </c>
    </row>
    <row r="60" spans="1:4">
      <c r="A60" s="5" t="str">
        <f>'Validation List'!E8</f>
        <v>Unhappy</v>
      </c>
      <c r="B60" s="3">
        <f>COUNTIFS(Table2[How comfortable is your centre? ],Condition_1,Table2[Your access to a garden or outdoor area?],A60)</f>
        <v>0</v>
      </c>
      <c r="C60" s="3" t="e">
        <f t="shared" si="4"/>
        <v>#DIV/0!</v>
      </c>
      <c r="D60" s="10" t="e">
        <f>B60/(No_who_answered_survey-COUNTIFS(Table2[How comfortable is your centre? ],Condition_1,Table2[Your access to a garden or outdoor area?],"Not answered"))*100</f>
        <v>#DIV/0!</v>
      </c>
    </row>
    <row r="61" spans="1:4">
      <c r="A61" s="5" t="str">
        <f>'Validation List'!E9</f>
        <v>.</v>
      </c>
      <c r="B61" s="3">
        <f>COUNTIFS(Table2[How comfortable is your centre? ],Condition_1,Table2[Your access to a garden or outdoor area?],A61)</f>
        <v>0</v>
      </c>
      <c r="C61" s="3" t="e">
        <f t="shared" si="4"/>
        <v>#DIV/0!</v>
      </c>
      <c r="D61" s="10" t="e">
        <f>B61/(No_who_answered_survey-COUNTIFS(Table2[How comfortable is your centre? ],Condition_1,Table2[Your access to a garden or outdoor area?],"Not answered"))*100</f>
        <v>#DIV/0!</v>
      </c>
    </row>
    <row r="62" spans="1:4">
      <c r="A62" s="5" t="str">
        <f>'Validation List'!E10</f>
        <v>.</v>
      </c>
      <c r="B62" s="3">
        <f>COUNTIFS(Table2[How comfortable is your centre? ],Condition_1,Table2[Your access to a garden or outdoor area?],A62)</f>
        <v>0</v>
      </c>
      <c r="C62" s="3" t="e">
        <f t="shared" si="4"/>
        <v>#DIV/0!</v>
      </c>
      <c r="D62" s="10" t="e">
        <f>B62/(No_who_answered_survey-COUNTIFS(Table2[How comfortable is your centre? ],Condition_1,Table2[Your access to a garden or outdoor area?],"Not answered"))*100</f>
        <v>#DIV/0!</v>
      </c>
    </row>
    <row r="63" spans="1:4">
      <c r="A63" s="5" t="str">
        <f>'Validation List'!E11</f>
        <v>.</v>
      </c>
      <c r="B63" s="3">
        <f>COUNTIFS(Table2[How comfortable is your centre? ],Condition_1,Table2[Your access to a garden or outdoor area?],A63)</f>
        <v>0</v>
      </c>
      <c r="C63" s="3" t="e">
        <f t="shared" si="4"/>
        <v>#DIV/0!</v>
      </c>
      <c r="D63" s="10" t="e">
        <f>B63/(No_who_answered_survey-COUNTIFS(Table2[How comfortable is your centre? ],Condition_1,Table2[Your access to a garden or outdoor area?],"Not answered"))*100</f>
        <v>#DIV/0!</v>
      </c>
    </row>
    <row r="64" spans="1:4">
      <c r="A64" s="5" t="str">
        <f>'Validation List'!E12</f>
        <v>.</v>
      </c>
      <c r="B64" s="3">
        <f>COUNTIFS(Table2[How comfortable is your centre? ],Condition_1,Table2[Your access to a garden or outdoor area?],A64)</f>
        <v>0</v>
      </c>
      <c r="C64" s="3" t="e">
        <f t="shared" si="4"/>
        <v>#DIV/0!</v>
      </c>
      <c r="D64" s="10" t="e">
        <f>B64/(No_who_answered_survey-COUNTIFS(Table2[How comfortable is your centre? ],Condition_1,Table2[Your access to a garden or outdoor area?],"Not answered"))*100</f>
        <v>#DIV/0!</v>
      </c>
    </row>
    <row r="65" spans="1:4">
      <c r="A65" s="5" t="str">
        <f>'Validation List'!E13</f>
        <v>.</v>
      </c>
      <c r="B65" s="3">
        <f>COUNTIFS(Table2[How comfortable is your centre? ],Condition_1,Table2[Your access to a garden or outdoor area?],A65)</f>
        <v>0</v>
      </c>
      <c r="C65" s="3" t="e">
        <f t="shared" si="4"/>
        <v>#DIV/0!</v>
      </c>
      <c r="D65" s="10" t="e">
        <f>B65/(No_who_answered_survey-COUNTIFS(Table2[How comfortable is your centre? ],Condition_1,Table2[Your access to a garden or outdoor area?],"Not answered"))*100</f>
        <v>#DIV/0!</v>
      </c>
    </row>
    <row r="66" spans="1:4">
      <c r="A66" s="5" t="str">
        <f>'Validation List'!E14</f>
        <v>.</v>
      </c>
      <c r="B66" s="3">
        <f>COUNTIFS(Table2[How comfortable is your centre? ],Condition_1,Table2[Your access to a garden or outdoor area?],A66)</f>
        <v>0</v>
      </c>
      <c r="C66" s="3" t="e">
        <f t="shared" si="4"/>
        <v>#DIV/0!</v>
      </c>
      <c r="D66" s="10" t="e">
        <f>B66/(No_who_answered_survey-COUNTIFS(Table2[How comfortable is your centre? ],Condition_1,Table2[Your access to a garden or outdoor area?],"Not answered"))*100</f>
        <v>#DIV/0!</v>
      </c>
    </row>
    <row r="67" spans="1:4">
      <c r="A67" s="5" t="str">
        <f>'Validation List'!E15</f>
        <v>Not answered</v>
      </c>
      <c r="B67" s="3">
        <f>COUNTIFS(Table2[How comfortable is your centre? ],Condition_1,Table2[Your access to a garden or outdoor area?],A67)</f>
        <v>0</v>
      </c>
      <c r="C67" s="3" t="e">
        <f t="shared" si="4"/>
        <v>#DIV/0!</v>
      </c>
      <c r="D67" s="10"/>
    </row>
    <row r="68" spans="1:4">
      <c r="A68" s="5" t="s">
        <v>39</v>
      </c>
      <c r="B68" s="3">
        <f>SUM(B58:B67)</f>
        <v>0</v>
      </c>
      <c r="C68" s="3" t="e">
        <f>SUM(C58:C67)</f>
        <v>#DIV/0!</v>
      </c>
      <c r="D68" s="10" t="e">
        <f>SUM(D58:D67)</f>
        <v>#DIV/0!</v>
      </c>
    </row>
    <row r="71" spans="1:4">
      <c r="A71" s="58" t="str">
        <f>'Validation List'!F3</f>
        <v>Your bedroom?</v>
      </c>
      <c r="B71" s="59"/>
      <c r="C71" s="59"/>
      <c r="D71" s="60"/>
    </row>
    <row r="72" spans="1:4">
      <c r="A72" s="5"/>
      <c r="B72" s="3" t="s">
        <v>37</v>
      </c>
      <c r="C72" s="3" t="s">
        <v>38</v>
      </c>
      <c r="D72" s="10" t="s">
        <v>40</v>
      </c>
    </row>
    <row r="73" spans="1:4">
      <c r="A73" s="5" t="str">
        <f>'Validation List'!F6</f>
        <v>Happy</v>
      </c>
      <c r="B73" s="3">
        <f>COUNTIFS(Table2[How comfortable is your centre? ],Condition_1,Table2[Your bedroom?],A73)</f>
        <v>0</v>
      </c>
      <c r="C73" s="3" t="e">
        <f t="shared" ref="C73" si="5">B73/No_who_answered_survey*100</f>
        <v>#DIV/0!</v>
      </c>
      <c r="D73" s="10" t="e">
        <f>B73/(No_who_answered_survey-COUNTIFS(Table2[How comfortable is your centre? ],Condition_1,Table2[Your bedroom?],"Not answered"))*100</f>
        <v>#DIV/0!</v>
      </c>
    </row>
    <row r="74" spans="1:4">
      <c r="A74" s="5" t="str">
        <f>'Validation List'!F7</f>
        <v>Neutral</v>
      </c>
      <c r="B74" s="3">
        <f>COUNTIFS(Table2[How comfortable is your centre? ],Condition_1,Table2[Your bedroom?],A74)</f>
        <v>0</v>
      </c>
      <c r="C74" s="3" t="e">
        <f t="shared" ref="C74:C82" si="6">B74/No_who_answered_survey*100</f>
        <v>#DIV/0!</v>
      </c>
      <c r="D74" s="10" t="e">
        <f>B74/(No_who_answered_survey-COUNTIFS(Table2[How comfortable is your centre? ],Condition_1,Table2[Your bedroom?],"Not answered"))*100</f>
        <v>#DIV/0!</v>
      </c>
    </row>
    <row r="75" spans="1:4">
      <c r="A75" s="5" t="str">
        <f>'Validation List'!F8</f>
        <v>Unhappy</v>
      </c>
      <c r="B75" s="3">
        <f>COUNTIFS(Table2[How comfortable is your centre? ],Condition_1,Table2[Your bedroom?],A75)</f>
        <v>0</v>
      </c>
      <c r="C75" s="3" t="e">
        <f t="shared" si="6"/>
        <v>#DIV/0!</v>
      </c>
      <c r="D75" s="10" t="e">
        <f>B75/(No_who_answered_survey-COUNTIFS(Table2[How comfortable is your centre? ],Condition_1,Table2[Your bedroom?],"Not answered"))*100</f>
        <v>#DIV/0!</v>
      </c>
    </row>
    <row r="76" spans="1:4">
      <c r="A76" s="5" t="str">
        <f>'Validation List'!F9</f>
        <v>.</v>
      </c>
      <c r="B76" s="3">
        <f>COUNTIFS(Table2[How comfortable is your centre? ],Condition_1,Table2[Your bedroom?],A76)</f>
        <v>0</v>
      </c>
      <c r="C76" s="3" t="e">
        <f t="shared" si="6"/>
        <v>#DIV/0!</v>
      </c>
      <c r="D76" s="10" t="e">
        <f>B76/(No_who_answered_survey-COUNTIFS(Table2[How comfortable is your centre? ],Condition_1,Table2[Your bedroom?],"Not answered"))*100</f>
        <v>#DIV/0!</v>
      </c>
    </row>
    <row r="77" spans="1:4">
      <c r="A77" s="5" t="str">
        <f>'Validation List'!F10</f>
        <v>.</v>
      </c>
      <c r="B77" s="3">
        <f>COUNTIFS(Table2[How comfortable is your centre? ],Condition_1,Table2[Your bedroom?],A77)</f>
        <v>0</v>
      </c>
      <c r="C77" s="3" t="e">
        <f t="shared" si="6"/>
        <v>#DIV/0!</v>
      </c>
      <c r="D77" s="10" t="e">
        <f>B77/(No_who_answered_survey-COUNTIFS(Table2[How comfortable is your centre? ],Condition_1,Table2[Your bedroom?],"Not answered"))*100</f>
        <v>#DIV/0!</v>
      </c>
    </row>
    <row r="78" spans="1:4">
      <c r="A78" s="5" t="str">
        <f>'Validation List'!F11</f>
        <v>.</v>
      </c>
      <c r="B78" s="3">
        <f>COUNTIFS(Table2[How comfortable is your centre? ],Condition_1,Table2[Your bedroom?],A78)</f>
        <v>0</v>
      </c>
      <c r="C78" s="3" t="e">
        <f t="shared" si="6"/>
        <v>#DIV/0!</v>
      </c>
      <c r="D78" s="10" t="e">
        <f>B78/(No_who_answered_survey-COUNTIFS(Table2[How comfortable is your centre? ],Condition_1,Table2[Your bedroom?],"Not answered"))*100</f>
        <v>#DIV/0!</v>
      </c>
    </row>
    <row r="79" spans="1:4">
      <c r="A79" s="5" t="str">
        <f>'Validation List'!F12</f>
        <v>.</v>
      </c>
      <c r="B79" s="3">
        <f>COUNTIFS(Table2[How comfortable is your centre? ],Condition_1,Table2[Your bedroom?],A79)</f>
        <v>0</v>
      </c>
      <c r="C79" s="3" t="e">
        <f t="shared" si="6"/>
        <v>#DIV/0!</v>
      </c>
      <c r="D79" s="10" t="e">
        <f>B79/(No_who_answered_survey-COUNTIFS(Table2[How comfortable is your centre? ],Condition_1,Table2[Your bedroom?],"Not answered"))*100</f>
        <v>#DIV/0!</v>
      </c>
    </row>
    <row r="80" spans="1:4">
      <c r="A80" s="5" t="str">
        <f>'Validation List'!F13</f>
        <v>.</v>
      </c>
      <c r="B80" s="3">
        <f>COUNTIFS(Table2[How comfortable is your centre? ],Condition_1,Table2[Your bedroom?],A80)</f>
        <v>0</v>
      </c>
      <c r="C80" s="3" t="e">
        <f t="shared" si="6"/>
        <v>#DIV/0!</v>
      </c>
      <c r="D80" s="10" t="e">
        <f>B80/(No_who_answered_survey-COUNTIFS(Table2[How comfortable is your centre? ],Condition_1,Table2[Your bedroom?],"Not answered"))*100</f>
        <v>#DIV/0!</v>
      </c>
    </row>
    <row r="81" spans="1:4">
      <c r="A81" s="5" t="str">
        <f>'Validation List'!F14</f>
        <v>.</v>
      </c>
      <c r="B81" s="3">
        <f>COUNTIFS(Table2[How comfortable is your centre? ],Condition_1,Table2[Your bedroom?],A81)</f>
        <v>0</v>
      </c>
      <c r="C81" s="3" t="e">
        <f t="shared" si="6"/>
        <v>#DIV/0!</v>
      </c>
      <c r="D81" s="10" t="e">
        <f>B81/(No_who_answered_survey-COUNTIFS(Table2[How comfortable is your centre? ],Condition_1,Table2[Your bedroom?],"Not answered"))*100</f>
        <v>#DIV/0!</v>
      </c>
    </row>
    <row r="82" spans="1:4">
      <c r="A82" s="5" t="str">
        <f>'Validation List'!F15</f>
        <v>Not answered</v>
      </c>
      <c r="B82" s="3">
        <f>COUNTIFS(Table2[How comfortable is your centre? ],Condition_1,Table2[Your bedroom?],A82)</f>
        <v>0</v>
      </c>
      <c r="C82" s="3" t="e">
        <f t="shared" si="6"/>
        <v>#DIV/0!</v>
      </c>
      <c r="D82" s="10"/>
    </row>
    <row r="83" spans="1:4">
      <c r="A83" s="5" t="s">
        <v>39</v>
      </c>
      <c r="B83" s="3">
        <f>SUM(B73:B82)</f>
        <v>0</v>
      </c>
      <c r="C83" s="3" t="e">
        <f>SUM(C73:C82)</f>
        <v>#DIV/0!</v>
      </c>
      <c r="D83" s="10" t="e">
        <f>SUM(D73:D82)</f>
        <v>#DIV/0!</v>
      </c>
    </row>
    <row r="86" spans="1:4">
      <c r="A86" s="58" t="str">
        <f>'Validation List'!G3</f>
        <v>The amount of space you have for your belongings?</v>
      </c>
      <c r="B86" s="59"/>
      <c r="C86" s="59"/>
      <c r="D86" s="60"/>
    </row>
    <row r="87" spans="1:4">
      <c r="A87" s="5"/>
      <c r="B87" s="3" t="s">
        <v>37</v>
      </c>
      <c r="C87" s="3" t="s">
        <v>38</v>
      </c>
      <c r="D87" s="10" t="s">
        <v>40</v>
      </c>
    </row>
    <row r="88" spans="1:4">
      <c r="A88" s="5" t="str">
        <f>'Validation List'!G6</f>
        <v>Happy</v>
      </c>
      <c r="B88" s="3">
        <f>COUNTIFS(Table2[How comfortable is your centre? ],Condition_1,Table2[The amount of space you have for your belongings?],A88)</f>
        <v>0</v>
      </c>
      <c r="C88" s="3" t="e">
        <f t="shared" ref="C88" si="7">B88/No_who_answered_survey*100</f>
        <v>#DIV/0!</v>
      </c>
      <c r="D88" s="10" t="e">
        <f>B88/(No_who_answered_survey-COUNTIFS(Table2[How comfortable is your centre? ],Condition_1,Table2[The amount of space you have for your belongings?],"Not answered"))*100</f>
        <v>#DIV/0!</v>
      </c>
    </row>
    <row r="89" spans="1:4">
      <c r="A89" s="5" t="str">
        <f>'Validation List'!G7</f>
        <v>Neutral</v>
      </c>
      <c r="B89" s="3">
        <f>COUNTIFS(Table2[How comfortable is your centre? ],Condition_1,Table2[The amount of space you have for your belongings?],A89)</f>
        <v>0</v>
      </c>
      <c r="C89" s="3" t="e">
        <f t="shared" ref="C89:C97" si="8">B89/No_who_answered_survey*100</f>
        <v>#DIV/0!</v>
      </c>
      <c r="D89" s="10" t="e">
        <f>B89/(No_who_answered_survey-COUNTIFS(Table2[How comfortable is your centre? ],Condition_1,Table2[The amount of space you have for your belongings?],"Not answered"))*100</f>
        <v>#DIV/0!</v>
      </c>
    </row>
    <row r="90" spans="1:4">
      <c r="A90" s="5" t="str">
        <f>'Validation List'!G8</f>
        <v>Unhappy</v>
      </c>
      <c r="B90" s="3">
        <f>COUNTIFS(Table2[How comfortable is your centre? ],Condition_1,Table2[The amount of space you have for your belongings?],A90)</f>
        <v>0</v>
      </c>
      <c r="C90" s="3" t="e">
        <f t="shared" si="8"/>
        <v>#DIV/0!</v>
      </c>
      <c r="D90" s="10" t="e">
        <f>B90/(No_who_answered_survey-COUNTIFS(Table2[How comfortable is your centre? ],Condition_1,Table2[The amount of space you have for your belongings?],"Not answered"))*100</f>
        <v>#DIV/0!</v>
      </c>
    </row>
    <row r="91" spans="1:4">
      <c r="A91" s="5" t="str">
        <f>'Validation List'!G9</f>
        <v>.</v>
      </c>
      <c r="B91" s="3">
        <f>COUNTIFS(Table2[How comfortable is your centre? ],Condition_1,Table2[The amount of space you have for your belongings?],A91)</f>
        <v>0</v>
      </c>
      <c r="C91" s="3" t="e">
        <f t="shared" si="8"/>
        <v>#DIV/0!</v>
      </c>
      <c r="D91" s="10" t="e">
        <f>B91/(No_who_answered_survey-COUNTIFS(Table2[How comfortable is your centre? ],Condition_1,Table2[The amount of space you have for your belongings?],"Not answered"))*100</f>
        <v>#DIV/0!</v>
      </c>
    </row>
    <row r="92" spans="1:4">
      <c r="A92" s="5" t="str">
        <f>'Validation List'!G10</f>
        <v>.</v>
      </c>
      <c r="B92" s="3">
        <f>COUNTIFS(Table2[How comfortable is your centre? ],Condition_1,Table2[The amount of space you have for your belongings?],A92)</f>
        <v>0</v>
      </c>
      <c r="C92" s="3" t="e">
        <f t="shared" si="8"/>
        <v>#DIV/0!</v>
      </c>
      <c r="D92" s="10" t="e">
        <f>B92/(No_who_answered_survey-COUNTIFS(Table2[How comfortable is your centre? ],Condition_1,Table2[The amount of space you have for your belongings?],"Not answered"))*100</f>
        <v>#DIV/0!</v>
      </c>
    </row>
    <row r="93" spans="1:4">
      <c r="A93" s="5" t="str">
        <f>'Validation List'!G11</f>
        <v>.</v>
      </c>
      <c r="B93" s="3">
        <f>COUNTIFS(Table2[How comfortable is your centre? ],Condition_1,Table2[The amount of space you have for your belongings?],A93)</f>
        <v>0</v>
      </c>
      <c r="C93" s="3" t="e">
        <f t="shared" si="8"/>
        <v>#DIV/0!</v>
      </c>
      <c r="D93" s="10" t="e">
        <f>B93/(No_who_answered_survey-COUNTIFS(Table2[How comfortable is your centre? ],Condition_1,Table2[The amount of space you have for your belongings?],"Not answered"))*100</f>
        <v>#DIV/0!</v>
      </c>
    </row>
    <row r="94" spans="1:4">
      <c r="A94" s="5" t="str">
        <f>'Validation List'!G12</f>
        <v>.</v>
      </c>
      <c r="B94" s="3">
        <f>COUNTIFS(Table2[How comfortable is your centre? ],Condition_1,Table2[The amount of space you have for your belongings?],A94)</f>
        <v>0</v>
      </c>
      <c r="C94" s="3" t="e">
        <f t="shared" si="8"/>
        <v>#DIV/0!</v>
      </c>
      <c r="D94" s="10" t="e">
        <f>B94/(No_who_answered_survey-COUNTIFS(Table2[How comfortable is your centre? ],Condition_1,Table2[The amount of space you have for your belongings?],"Not answered"))*100</f>
        <v>#DIV/0!</v>
      </c>
    </row>
    <row r="95" spans="1:4">
      <c r="A95" s="5" t="str">
        <f>'Validation List'!G13</f>
        <v>.</v>
      </c>
      <c r="B95" s="3">
        <f>COUNTIFS(Table2[How comfortable is your centre? ],Condition_1,Table2[The amount of space you have for your belongings?],A95)</f>
        <v>0</v>
      </c>
      <c r="C95" s="3" t="e">
        <f t="shared" si="8"/>
        <v>#DIV/0!</v>
      </c>
      <c r="D95" s="10" t="e">
        <f>B95/(No_who_answered_survey-COUNTIFS(Table2[How comfortable is your centre? ],Condition_1,Table2[The amount of space you have for your belongings?],"Not answered"))*100</f>
        <v>#DIV/0!</v>
      </c>
    </row>
    <row r="96" spans="1:4">
      <c r="A96" s="5" t="str">
        <f>'Validation List'!G14</f>
        <v>.</v>
      </c>
      <c r="B96" s="3">
        <f>COUNTIFS(Table2[How comfortable is your centre? ],Condition_1,Table2[The amount of space you have for your belongings?],A96)</f>
        <v>0</v>
      </c>
      <c r="C96" s="3" t="e">
        <f t="shared" si="8"/>
        <v>#DIV/0!</v>
      </c>
      <c r="D96" s="10" t="e">
        <f>B96/(No_who_answered_survey-COUNTIFS(Table2[How comfortable is your centre? ],Condition_1,Table2[The amount of space you have for your belongings?],"Not answered"))*100</f>
        <v>#DIV/0!</v>
      </c>
    </row>
    <row r="97" spans="1:4">
      <c r="A97" s="5" t="str">
        <f>'Validation List'!G15</f>
        <v>Not answered</v>
      </c>
      <c r="B97" s="3">
        <f>COUNTIFS(Table2[How comfortable is your centre? ],Condition_1,Table2[The amount of space you have for your belongings?],A97)</f>
        <v>0</v>
      </c>
      <c r="C97" s="3" t="e">
        <f t="shared" si="8"/>
        <v>#DIV/0!</v>
      </c>
      <c r="D97" s="10"/>
    </row>
    <row r="98" spans="1:4">
      <c r="A98" s="5" t="s">
        <v>39</v>
      </c>
      <c r="B98" s="3">
        <f>SUM(B88:B97)</f>
        <v>0</v>
      </c>
      <c r="C98" s="3" t="e">
        <f>SUM(C88:C97)</f>
        <v>#DIV/0!</v>
      </c>
      <c r="D98" s="10" t="e">
        <f>SUM(D88:D97)</f>
        <v>#DIV/0!</v>
      </c>
    </row>
    <row r="101" spans="1:4">
      <c r="A101" s="61" t="str">
        <f>'Validation List'!H3</f>
        <v>The security of your belongings?</v>
      </c>
      <c r="B101" s="61"/>
      <c r="C101" s="61"/>
      <c r="D101" s="62"/>
    </row>
    <row r="102" spans="1:4">
      <c r="A102" s="5"/>
      <c r="B102" s="3" t="s">
        <v>37</v>
      </c>
      <c r="C102" s="3" t="s">
        <v>38</v>
      </c>
      <c r="D102" s="10" t="s">
        <v>40</v>
      </c>
    </row>
    <row r="103" spans="1:4">
      <c r="A103" s="5" t="str">
        <f>'Validation List'!H6</f>
        <v>Happy</v>
      </c>
      <c r="B103" s="3">
        <f>COUNTIFS(Table2[How comfortable is your centre? ],Condition_1,Table2[The security of your belongings?],A103)</f>
        <v>0</v>
      </c>
      <c r="C103" s="3" t="e">
        <f t="shared" ref="C103" si="9">B103/No_who_answered_survey*100</f>
        <v>#DIV/0!</v>
      </c>
      <c r="D103" s="10" t="e">
        <f>B103/(No_who_answered_survey-COUNTIFS(Table2[How comfortable is your centre? ],Condition_1,Table2[The security of your belongings?],"Not answered"))*100</f>
        <v>#DIV/0!</v>
      </c>
    </row>
    <row r="104" spans="1:4">
      <c r="A104" s="5" t="str">
        <f>'Validation List'!H7</f>
        <v>Neutral</v>
      </c>
      <c r="B104" s="3">
        <f>COUNTIFS(Table2[How comfortable is your centre? ],Condition_1,Table2[The security of your belongings?],A104)</f>
        <v>0</v>
      </c>
      <c r="C104" s="3" t="e">
        <f t="shared" ref="C104:C112" si="10">B104/No_who_answered_survey*100</f>
        <v>#DIV/0!</v>
      </c>
      <c r="D104" s="10" t="e">
        <f>B104/(No_who_answered_survey-COUNTIFS(Table2[How comfortable is your centre? ],Condition_1,Table2[The security of your belongings?],"Not answered"))*100</f>
        <v>#DIV/0!</v>
      </c>
    </row>
    <row r="105" spans="1:4">
      <c r="A105" s="5" t="str">
        <f>'Validation List'!H8</f>
        <v>Unhappy</v>
      </c>
      <c r="B105" s="3">
        <f>COUNTIFS(Table2[How comfortable is your centre? ],Condition_1,Table2[The security of your belongings?],A105)</f>
        <v>0</v>
      </c>
      <c r="C105" s="3" t="e">
        <f t="shared" si="10"/>
        <v>#DIV/0!</v>
      </c>
      <c r="D105" s="10" t="e">
        <f>B105/(No_who_answered_survey-COUNTIFS(Table2[How comfortable is your centre? ],Condition_1,Table2[The security of your belongings?],"Not answered"))*100</f>
        <v>#DIV/0!</v>
      </c>
    </row>
    <row r="106" spans="1:4">
      <c r="A106" s="5" t="str">
        <f>'Validation List'!H9</f>
        <v>.</v>
      </c>
      <c r="B106" s="3">
        <f>COUNTIFS(Table2[How comfortable is your centre? ],Condition_1,Table2[The security of your belongings?],A106)</f>
        <v>0</v>
      </c>
      <c r="C106" s="3" t="e">
        <f t="shared" si="10"/>
        <v>#DIV/0!</v>
      </c>
      <c r="D106" s="10" t="e">
        <f>B106/(No_who_answered_survey-COUNTIFS(Table2[How comfortable is your centre? ],Condition_1,Table2[The security of your belongings?],"Not answered"))*100</f>
        <v>#DIV/0!</v>
      </c>
    </row>
    <row r="107" spans="1:4">
      <c r="A107" s="5" t="str">
        <f>'Validation List'!H10</f>
        <v>.</v>
      </c>
      <c r="B107" s="3">
        <f>COUNTIFS(Table2[How comfortable is your centre? ],Condition_1,Table2[The security of your belongings?],A107)</f>
        <v>0</v>
      </c>
      <c r="C107" s="3" t="e">
        <f t="shared" si="10"/>
        <v>#DIV/0!</v>
      </c>
      <c r="D107" s="10" t="e">
        <f>B107/(No_who_answered_survey-COUNTIFS(Table2[How comfortable is your centre? ],Condition_1,Table2[The security of your belongings?],"Not answered"))*100</f>
        <v>#DIV/0!</v>
      </c>
    </row>
    <row r="108" spans="1:4">
      <c r="A108" s="5" t="str">
        <f>'Validation List'!H11</f>
        <v>.</v>
      </c>
      <c r="B108" s="3">
        <f>COUNTIFS(Table2[How comfortable is your centre? ],Condition_1,Table2[The security of your belongings?],A108)</f>
        <v>0</v>
      </c>
      <c r="C108" s="3" t="e">
        <f t="shared" si="10"/>
        <v>#DIV/0!</v>
      </c>
      <c r="D108" s="10" t="e">
        <f>B108/(No_who_answered_survey-COUNTIFS(Table2[How comfortable is your centre? ],Condition_1,Table2[The security of your belongings?],"Not answered"))*100</f>
        <v>#DIV/0!</v>
      </c>
    </row>
    <row r="109" spans="1:4">
      <c r="A109" s="5" t="str">
        <f>'Validation List'!H12</f>
        <v>.</v>
      </c>
      <c r="B109" s="3">
        <f>COUNTIFS(Table2[How comfortable is your centre? ],Condition_1,Table2[The security of your belongings?],A109)</f>
        <v>0</v>
      </c>
      <c r="C109" s="3" t="e">
        <f t="shared" si="10"/>
        <v>#DIV/0!</v>
      </c>
      <c r="D109" s="10" t="e">
        <f>B109/(No_who_answered_survey-COUNTIFS(Table2[How comfortable is your centre? ],Condition_1,Table2[The security of your belongings?],"Not answered"))*100</f>
        <v>#DIV/0!</v>
      </c>
    </row>
    <row r="110" spans="1:4">
      <c r="A110" s="5" t="str">
        <f>'Validation List'!H13</f>
        <v>.</v>
      </c>
      <c r="B110" s="3">
        <f>COUNTIFS(Table2[How comfortable is your centre? ],Condition_1,Table2[The security of your belongings?],A110)</f>
        <v>0</v>
      </c>
      <c r="C110" s="3" t="e">
        <f t="shared" si="10"/>
        <v>#DIV/0!</v>
      </c>
      <c r="D110" s="10" t="e">
        <f>B110/(No_who_answered_survey-COUNTIFS(Table2[How comfortable is your centre? ],Condition_1,Table2[The security of your belongings?],"Not answered"))*100</f>
        <v>#DIV/0!</v>
      </c>
    </row>
    <row r="111" spans="1:4">
      <c r="A111" s="5" t="str">
        <f>'Validation List'!H14</f>
        <v>.</v>
      </c>
      <c r="B111" s="3">
        <f>COUNTIFS(Table2[How comfortable is your centre? ],Condition_1,Table2[The security of your belongings?],A111)</f>
        <v>0</v>
      </c>
      <c r="C111" s="3" t="e">
        <f t="shared" si="10"/>
        <v>#DIV/0!</v>
      </c>
      <c r="D111" s="10" t="e">
        <f>B111/(No_who_answered_survey-COUNTIFS(Table2[How comfortable is your centre? ],Condition_1,Table2[The security of your belongings?],"Not answered"))*100</f>
        <v>#DIV/0!</v>
      </c>
    </row>
    <row r="112" spans="1:4">
      <c r="A112" s="5" t="str">
        <f>'Validation List'!H15</f>
        <v>Not answered</v>
      </c>
      <c r="B112" s="3">
        <f>COUNTIFS(Table2[How comfortable is your centre? ],Condition_1,Table2[The security of your belongings?],A112)</f>
        <v>0</v>
      </c>
      <c r="C112" s="3" t="e">
        <f t="shared" si="10"/>
        <v>#DIV/0!</v>
      </c>
      <c r="D112" s="10"/>
    </row>
    <row r="113" spans="1:4">
      <c r="A113" s="5" t="s">
        <v>39</v>
      </c>
      <c r="B113" s="3">
        <f>SUM(B103:B112)</f>
        <v>0</v>
      </c>
      <c r="C113" s="3" t="e">
        <f>SUM(C103:C112)</f>
        <v>#DIV/0!</v>
      </c>
      <c r="D113" s="10" t="e">
        <f>SUM(D103:D112)</f>
        <v>#DIV/0!</v>
      </c>
    </row>
    <row r="116" spans="1:4" ht="27" customHeight="1">
      <c r="A116" s="61" t="str">
        <f>'Validation List'!I3</f>
        <v>Your laundry facilities?</v>
      </c>
      <c r="B116" s="61"/>
      <c r="C116" s="61"/>
      <c r="D116" s="62"/>
    </row>
    <row r="117" spans="1:4">
      <c r="A117" s="5"/>
      <c r="B117" s="3" t="s">
        <v>37</v>
      </c>
      <c r="C117" s="3" t="s">
        <v>38</v>
      </c>
      <c r="D117" s="10" t="s">
        <v>40</v>
      </c>
    </row>
    <row r="118" spans="1:4">
      <c r="A118" s="5" t="str">
        <f>'Validation List'!I6</f>
        <v>Happy</v>
      </c>
      <c r="B118" s="3">
        <f>COUNTIFS(Table2[How comfortable is your centre? ],Condition_1,Table2[Your laundry facilities?],A118)</f>
        <v>0</v>
      </c>
      <c r="C118" s="3" t="e">
        <f t="shared" ref="C118" si="11">B118/No_who_answered_survey*100</f>
        <v>#DIV/0!</v>
      </c>
      <c r="D118" s="10" t="e">
        <f>B118/(No_who_answered_survey-COUNTIFS(Table2[How comfortable is your centre? ],Condition_1,Table2[Your laundry facilities?],"Not answered"))*100</f>
        <v>#DIV/0!</v>
      </c>
    </row>
    <row r="119" spans="1:4">
      <c r="A119" s="5" t="str">
        <f>'Validation List'!I7</f>
        <v>Neutral</v>
      </c>
      <c r="B119" s="3">
        <f>COUNTIFS(Table2[How comfortable is your centre? ],Condition_1,Table2[Your laundry facilities?],A119)</f>
        <v>0</v>
      </c>
      <c r="C119" s="3" t="e">
        <f t="shared" ref="C119:C127" si="12">B119/No_who_answered_survey*100</f>
        <v>#DIV/0!</v>
      </c>
      <c r="D119" s="10" t="e">
        <f>B119/(No_who_answered_survey-COUNTIFS(Table2[How comfortable is your centre? ],Condition_1,Table2[Your laundry facilities?],"Not answered"))*100</f>
        <v>#DIV/0!</v>
      </c>
    </row>
    <row r="120" spans="1:4">
      <c r="A120" s="5" t="str">
        <f>'Validation List'!I8</f>
        <v>Unhappy</v>
      </c>
      <c r="B120" s="3">
        <f>COUNTIFS(Table2[How comfortable is your centre? ],Condition_1,Table2[Your laundry facilities?],A120)</f>
        <v>0</v>
      </c>
      <c r="C120" s="3" t="e">
        <f t="shared" si="12"/>
        <v>#DIV/0!</v>
      </c>
      <c r="D120" s="10" t="e">
        <f>B120/(No_who_answered_survey-COUNTIFS(Table2[How comfortable is your centre? ],Condition_1,Table2[Your laundry facilities?],"Not answered"))*100</f>
        <v>#DIV/0!</v>
      </c>
    </row>
    <row r="121" spans="1:4">
      <c r="A121" s="5" t="str">
        <f>'Validation List'!I9</f>
        <v>.</v>
      </c>
      <c r="B121" s="3">
        <f>COUNTIFS(Table2[How comfortable is your centre? ],Condition_1,Table2[Your laundry facilities?],A121)</f>
        <v>0</v>
      </c>
      <c r="C121" s="3" t="e">
        <f t="shared" si="12"/>
        <v>#DIV/0!</v>
      </c>
      <c r="D121" s="10" t="e">
        <f>B121/(No_who_answered_survey-COUNTIFS(Table2[How comfortable is your centre? ],Condition_1,Table2[Your laundry facilities?],"Not answered"))*100</f>
        <v>#DIV/0!</v>
      </c>
    </row>
    <row r="122" spans="1:4">
      <c r="A122" s="5" t="str">
        <f>'Validation List'!I10</f>
        <v>.</v>
      </c>
      <c r="B122" s="3">
        <f>COUNTIFS(Table2[How comfortable is your centre? ],Condition_1,Table2[Your laundry facilities?],A122)</f>
        <v>0</v>
      </c>
      <c r="C122" s="3" t="e">
        <f t="shared" si="12"/>
        <v>#DIV/0!</v>
      </c>
      <c r="D122" s="10" t="e">
        <f>B122/(No_who_answered_survey-COUNTIFS(Table2[How comfortable is your centre? ],Condition_1,Table2[Your laundry facilities?],"Not answered"))*100</f>
        <v>#DIV/0!</v>
      </c>
    </row>
    <row r="123" spans="1:4">
      <c r="A123" s="5" t="str">
        <f>'Validation List'!I11</f>
        <v>.</v>
      </c>
      <c r="B123" s="3">
        <f>COUNTIFS(Table2[How comfortable is your centre? ],Condition_1,Table2[Your laundry facilities?],A123)</f>
        <v>0</v>
      </c>
      <c r="C123" s="3" t="e">
        <f t="shared" si="12"/>
        <v>#DIV/0!</v>
      </c>
      <c r="D123" s="10" t="e">
        <f>B123/(No_who_answered_survey-COUNTIFS(Table2[How comfortable is your centre? ],Condition_1,Table2[Your laundry facilities?],"Not answered"))*100</f>
        <v>#DIV/0!</v>
      </c>
    </row>
    <row r="124" spans="1:4">
      <c r="A124" s="5" t="str">
        <f>'Validation List'!I12</f>
        <v>.</v>
      </c>
      <c r="B124" s="3">
        <f>COUNTIFS(Table2[How comfortable is your centre? ],Condition_1,Table2[Your laundry facilities?],A124)</f>
        <v>0</v>
      </c>
      <c r="C124" s="3" t="e">
        <f t="shared" si="12"/>
        <v>#DIV/0!</v>
      </c>
      <c r="D124" s="10" t="e">
        <f>B124/(No_who_answered_survey-COUNTIFS(Table2[How comfortable is your centre? ],Condition_1,Table2[Your laundry facilities?],"Not answered"))*100</f>
        <v>#DIV/0!</v>
      </c>
    </row>
    <row r="125" spans="1:4">
      <c r="A125" s="5" t="str">
        <f>'Validation List'!I13</f>
        <v>.</v>
      </c>
      <c r="B125" s="3">
        <f>COUNTIFS(Table2[How comfortable is your centre? ],Condition_1,Table2[Your laundry facilities?],A125)</f>
        <v>0</v>
      </c>
      <c r="C125" s="3" t="e">
        <f t="shared" si="12"/>
        <v>#DIV/0!</v>
      </c>
      <c r="D125" s="10" t="e">
        <f>B125/(No_who_answered_survey-COUNTIFS(Table2[How comfortable is your centre? ],Condition_1,Table2[Your laundry facilities?],"Not answered"))*100</f>
        <v>#DIV/0!</v>
      </c>
    </row>
    <row r="126" spans="1:4">
      <c r="A126" s="5" t="str">
        <f>'Validation List'!I14</f>
        <v>.</v>
      </c>
      <c r="B126" s="3">
        <f>COUNTIFS(Table2[How comfortable is your centre? ],Condition_1,Table2[Your laundry facilities?],A126)</f>
        <v>0</v>
      </c>
      <c r="C126" s="3" t="e">
        <f t="shared" si="12"/>
        <v>#DIV/0!</v>
      </c>
      <c r="D126" s="10" t="e">
        <f>B126/(No_who_answered_survey-COUNTIFS(Table2[How comfortable is your centre? ],Condition_1,Table2[Your laundry facilities?],"Not answered"))*100</f>
        <v>#DIV/0!</v>
      </c>
    </row>
    <row r="127" spans="1:4">
      <c r="A127" s="5" t="str">
        <f>'Validation List'!I15</f>
        <v>Not answered</v>
      </c>
      <c r="B127" s="3">
        <f>COUNTIFS(Table2[How comfortable is your centre? ],Condition_1,Table2[Your laundry facilities?],A127)</f>
        <v>0</v>
      </c>
      <c r="C127" s="3" t="e">
        <f t="shared" si="12"/>
        <v>#DIV/0!</v>
      </c>
      <c r="D127" s="10"/>
    </row>
    <row r="128" spans="1:4">
      <c r="A128" s="5" t="s">
        <v>39</v>
      </c>
      <c r="B128" s="3">
        <f>SUM(B118:B127)</f>
        <v>0</v>
      </c>
      <c r="C128" s="3" t="e">
        <f>SUM(C118:C127)</f>
        <v>#DIV/0!</v>
      </c>
      <c r="D128" s="10" t="e">
        <f>SUM(D118:D127)</f>
        <v>#DIV/0!</v>
      </c>
    </row>
    <row r="131" spans="1:4">
      <c r="A131" s="58" t="str">
        <f>'Validation List'!J3</f>
        <v>Taste of the food?</v>
      </c>
      <c r="B131" s="59"/>
      <c r="C131" s="59"/>
      <c r="D131" s="60"/>
    </row>
    <row r="132" spans="1:4">
      <c r="A132" s="5"/>
      <c r="B132" s="3" t="s">
        <v>37</v>
      </c>
      <c r="C132" s="3" t="s">
        <v>38</v>
      </c>
      <c r="D132" s="10" t="s">
        <v>40</v>
      </c>
    </row>
    <row r="133" spans="1:4">
      <c r="A133" s="5" t="str">
        <f>'Validation List'!J6</f>
        <v>Happy</v>
      </c>
      <c r="B133" s="3">
        <f>COUNTIFS(Table2[How comfortable is your centre? ],Condition_1,Table2[Taste of the food?],A133)</f>
        <v>0</v>
      </c>
      <c r="C133" s="3" t="e">
        <f t="shared" ref="C133" si="13">B133/No_who_answered_survey*100</f>
        <v>#DIV/0!</v>
      </c>
      <c r="D133" s="10" t="e">
        <f>B133/(No_who_answered_survey-COUNTIFS(Table2[How comfortable is your centre? ],Condition_1,Table2[Taste of the food?],"Not answered"))*100</f>
        <v>#DIV/0!</v>
      </c>
    </row>
    <row r="134" spans="1:4">
      <c r="A134" s="5" t="str">
        <f>'Validation List'!J7</f>
        <v>Neutral</v>
      </c>
      <c r="B134" s="3">
        <f>COUNTIFS(Table2[How comfortable is your centre? ],Condition_1,Table2[Taste of the food?],A134)</f>
        <v>0</v>
      </c>
      <c r="C134" s="3" t="e">
        <f t="shared" ref="C134:C142" si="14">B134/No_who_answered_survey*100</f>
        <v>#DIV/0!</v>
      </c>
      <c r="D134" s="10" t="e">
        <f>B134/(No_who_answered_survey-COUNTIFS(Table2[How comfortable is your centre? ],Condition_1,Table2[Taste of the food?],"Not answered"))*100</f>
        <v>#DIV/0!</v>
      </c>
    </row>
    <row r="135" spans="1:4">
      <c r="A135" s="5" t="str">
        <f>'Validation List'!J8</f>
        <v>Unhappy</v>
      </c>
      <c r="B135" s="3">
        <f>COUNTIFS(Table2[How comfortable is your centre? ],Condition_1,Table2[Taste of the food?],A135)</f>
        <v>0</v>
      </c>
      <c r="C135" s="3" t="e">
        <f t="shared" si="14"/>
        <v>#DIV/0!</v>
      </c>
      <c r="D135" s="10" t="e">
        <f>B135/(No_who_answered_survey-COUNTIFS(Table2[How comfortable is your centre? ],Condition_1,Table2[Taste of the food?],"Not answered"))*100</f>
        <v>#DIV/0!</v>
      </c>
    </row>
    <row r="136" spans="1:4">
      <c r="A136" s="5" t="str">
        <f>'Validation List'!J9</f>
        <v>.</v>
      </c>
      <c r="B136" s="3">
        <f>COUNTIFS(Table2[How comfortable is your centre? ],Condition_1,Table2[Taste of the food?],A136)</f>
        <v>0</v>
      </c>
      <c r="C136" s="3" t="e">
        <f t="shared" si="14"/>
        <v>#DIV/0!</v>
      </c>
      <c r="D136" s="10" t="e">
        <f>B136/(No_who_answered_survey-COUNTIFS(Table2[How comfortable is your centre? ],Condition_1,Table2[Taste of the food?],"Not answered"))*100</f>
        <v>#DIV/0!</v>
      </c>
    </row>
    <row r="137" spans="1:4">
      <c r="A137" s="5" t="str">
        <f>'Validation List'!J10</f>
        <v>.</v>
      </c>
      <c r="B137" s="3">
        <f>COUNTIFS(Table2[How comfortable is your centre? ],Condition_1,Table2[Taste of the food?],A137)</f>
        <v>0</v>
      </c>
      <c r="C137" s="3" t="e">
        <f t="shared" si="14"/>
        <v>#DIV/0!</v>
      </c>
      <c r="D137" s="10" t="e">
        <f>B137/(No_who_answered_survey-COUNTIFS(Table2[How comfortable is your centre? ],Condition_1,Table2[Taste of the food?],"Not answered"))*100</f>
        <v>#DIV/0!</v>
      </c>
    </row>
    <row r="138" spans="1:4">
      <c r="A138" s="5" t="str">
        <f>'Validation List'!J11</f>
        <v>.</v>
      </c>
      <c r="B138" s="3">
        <f>COUNTIFS(Table2[How comfortable is your centre? ],Condition_1,Table2[Taste of the food?],A138)</f>
        <v>0</v>
      </c>
      <c r="C138" s="3" t="e">
        <f t="shared" si="14"/>
        <v>#DIV/0!</v>
      </c>
      <c r="D138" s="10" t="e">
        <f>B138/(No_who_answered_survey-COUNTIFS(Table2[How comfortable is your centre? ],Condition_1,Table2[Taste of the food?],"Not answered"))*100</f>
        <v>#DIV/0!</v>
      </c>
    </row>
    <row r="139" spans="1:4">
      <c r="A139" s="5" t="str">
        <f>'Validation List'!J12</f>
        <v>.</v>
      </c>
      <c r="B139" s="3">
        <f>COUNTIFS(Table2[How comfortable is your centre? ],Condition_1,Table2[Taste of the food?],A139)</f>
        <v>0</v>
      </c>
      <c r="C139" s="3" t="e">
        <f t="shared" si="14"/>
        <v>#DIV/0!</v>
      </c>
      <c r="D139" s="10" t="e">
        <f>B139/(No_who_answered_survey-COUNTIFS(Table2[How comfortable is your centre? ],Condition_1,Table2[Taste of the food?],"Not answered"))*100</f>
        <v>#DIV/0!</v>
      </c>
    </row>
    <row r="140" spans="1:4">
      <c r="A140" s="5" t="str">
        <f>'Validation List'!J13</f>
        <v>.</v>
      </c>
      <c r="B140" s="3">
        <f>COUNTIFS(Table2[How comfortable is your centre? ],Condition_1,Table2[Taste of the food?],A140)</f>
        <v>0</v>
      </c>
      <c r="C140" s="3" t="e">
        <f t="shared" si="14"/>
        <v>#DIV/0!</v>
      </c>
      <c r="D140" s="10" t="e">
        <f>B140/(No_who_answered_survey-COUNTIFS(Table2[How comfortable is your centre? ],Condition_1,Table2[Taste of the food?],"Not answered"))*100</f>
        <v>#DIV/0!</v>
      </c>
    </row>
    <row r="141" spans="1:4">
      <c r="A141" s="5" t="str">
        <f>'Validation List'!J14</f>
        <v>.</v>
      </c>
      <c r="B141" s="3">
        <f>COUNTIFS(Table2[How comfortable is your centre? ],Condition_1,Table2[Taste of the food?],A141)</f>
        <v>0</v>
      </c>
      <c r="C141" s="3" t="e">
        <f t="shared" si="14"/>
        <v>#DIV/0!</v>
      </c>
      <c r="D141" s="10" t="e">
        <f>B141/(No_who_answered_survey-COUNTIFS(Table2[How comfortable is your centre? ],Condition_1,Table2[Taste of the food?],"Not answered"))*100</f>
        <v>#DIV/0!</v>
      </c>
    </row>
    <row r="142" spans="1:4">
      <c r="A142" s="5" t="str">
        <f>'Validation List'!J15</f>
        <v>Not answered</v>
      </c>
      <c r="B142" s="3">
        <f>COUNTIFS(Table2[How comfortable is your centre? ],Condition_1,Table2[Taste of the food?],A142)</f>
        <v>0</v>
      </c>
      <c r="C142" s="3" t="e">
        <f t="shared" si="14"/>
        <v>#DIV/0!</v>
      </c>
      <c r="D142" s="10"/>
    </row>
    <row r="143" spans="1:4">
      <c r="A143" s="5" t="s">
        <v>39</v>
      </c>
      <c r="B143" s="3">
        <f>SUM(B133:B142)</f>
        <v>0</v>
      </c>
      <c r="C143" s="3" t="e">
        <f>SUM(C133:C142)</f>
        <v>#DIV/0!</v>
      </c>
      <c r="D143" s="10" t="e">
        <f>SUM(D133:D142)</f>
        <v>#DIV/0!</v>
      </c>
    </row>
    <row r="146" spans="1:4" ht="27" customHeight="1">
      <c r="A146" s="58" t="str">
        <f>'Validation List'!K3</f>
        <v>Choice of food?</v>
      </c>
      <c r="B146" s="59"/>
      <c r="C146" s="59"/>
      <c r="D146" s="60"/>
    </row>
    <row r="147" spans="1:4">
      <c r="A147" s="5"/>
      <c r="B147" s="3" t="s">
        <v>37</v>
      </c>
      <c r="C147" s="3" t="s">
        <v>38</v>
      </c>
      <c r="D147" s="10" t="s">
        <v>40</v>
      </c>
    </row>
    <row r="148" spans="1:4">
      <c r="A148" s="5" t="str">
        <f>'Validation List'!K6</f>
        <v>Happy</v>
      </c>
      <c r="B148" s="3">
        <f>COUNTIFS(Table2[How comfortable is your centre? ],Condition_1,Table2[Choice of food?],A148)</f>
        <v>0</v>
      </c>
      <c r="C148" s="3" t="e">
        <f t="shared" ref="C148" si="15">B148/No_who_answered_survey*100</f>
        <v>#DIV/0!</v>
      </c>
      <c r="D148" s="10" t="e">
        <f>B148/(No_who_answered_survey-COUNTIFS(Table2[How comfortable is your centre? ],Condition_1,Table2[Choice of food?],"Not answered"))*100</f>
        <v>#DIV/0!</v>
      </c>
    </row>
    <row r="149" spans="1:4">
      <c r="A149" s="5" t="str">
        <f>'Validation List'!K7</f>
        <v>Neutral</v>
      </c>
      <c r="B149" s="3">
        <f>COUNTIFS(Table2[How comfortable is your centre? ],Condition_1,Table2[Choice of food?],A149)</f>
        <v>0</v>
      </c>
      <c r="C149" s="3" t="e">
        <f t="shared" ref="C149:C157" si="16">B149/No_who_answered_survey*100</f>
        <v>#DIV/0!</v>
      </c>
      <c r="D149" s="10" t="e">
        <f>B149/(No_who_answered_survey-COUNTIFS(Table2[How comfortable is your centre? ],Condition_1,Table2[Choice of food?],"Not answered"))*100</f>
        <v>#DIV/0!</v>
      </c>
    </row>
    <row r="150" spans="1:4">
      <c r="A150" s="5" t="str">
        <f>'Validation List'!K8</f>
        <v>Unhappy</v>
      </c>
      <c r="B150" s="3">
        <f>COUNTIFS(Table2[How comfortable is your centre? ],Condition_1,Table2[Choice of food?],A150)</f>
        <v>0</v>
      </c>
      <c r="C150" s="3" t="e">
        <f t="shared" si="16"/>
        <v>#DIV/0!</v>
      </c>
      <c r="D150" s="10" t="e">
        <f>B150/(No_who_answered_survey-COUNTIFS(Table2[How comfortable is your centre? ],Condition_1,Table2[Choice of food?],"Not answered"))*100</f>
        <v>#DIV/0!</v>
      </c>
    </row>
    <row r="151" spans="1:4">
      <c r="A151" s="5" t="str">
        <f>'Validation List'!K9</f>
        <v>.</v>
      </c>
      <c r="B151" s="3">
        <f>COUNTIFS(Table2[How comfortable is your centre? ],Condition_1,Table2[Choice of food?],A151)</f>
        <v>0</v>
      </c>
      <c r="C151" s="3" t="e">
        <f t="shared" si="16"/>
        <v>#DIV/0!</v>
      </c>
      <c r="D151" s="10" t="e">
        <f>B151/(No_who_answered_survey-COUNTIFS(Table2[How comfortable is your centre? ],Condition_1,Table2[Choice of food?],"Not answered"))*100</f>
        <v>#DIV/0!</v>
      </c>
    </row>
    <row r="152" spans="1:4">
      <c r="A152" s="5" t="str">
        <f>'Validation List'!K10</f>
        <v>.</v>
      </c>
      <c r="B152" s="3">
        <f>COUNTIFS(Table2[How comfortable is your centre? ],Condition_1,Table2[Choice of food?],A152)</f>
        <v>0</v>
      </c>
      <c r="C152" s="3" t="e">
        <f t="shared" si="16"/>
        <v>#DIV/0!</v>
      </c>
      <c r="D152" s="10" t="e">
        <f>B152/(No_who_answered_survey-COUNTIFS(Table2[How comfortable is your centre? ],Condition_1,Table2[Choice of food?],"Not answered"))*100</f>
        <v>#DIV/0!</v>
      </c>
    </row>
    <row r="153" spans="1:4">
      <c r="A153" s="5" t="str">
        <f>'Validation List'!K11</f>
        <v>.</v>
      </c>
      <c r="B153" s="3">
        <f>COUNTIFS(Table2[How comfortable is your centre? ],Condition_1,Table2[Choice of food?],A153)</f>
        <v>0</v>
      </c>
      <c r="C153" s="3" t="e">
        <f t="shared" si="16"/>
        <v>#DIV/0!</v>
      </c>
      <c r="D153" s="10" t="e">
        <f>B153/(No_who_answered_survey-COUNTIFS(Table2[How comfortable is your centre? ],Condition_1,Table2[Choice of food?],"Not answered"))*100</f>
        <v>#DIV/0!</v>
      </c>
    </row>
    <row r="154" spans="1:4">
      <c r="A154" s="5" t="str">
        <f>'Validation List'!K12</f>
        <v>.</v>
      </c>
      <c r="B154" s="3">
        <f>COUNTIFS(Table2[How comfortable is your centre? ],Condition_1,Table2[Choice of food?],A154)</f>
        <v>0</v>
      </c>
      <c r="C154" s="3" t="e">
        <f t="shared" si="16"/>
        <v>#DIV/0!</v>
      </c>
      <c r="D154" s="10" t="e">
        <f>B154/(No_who_answered_survey-COUNTIFS(Table2[How comfortable is your centre? ],Condition_1,Table2[Choice of food?],"Not answered"))*100</f>
        <v>#DIV/0!</v>
      </c>
    </row>
    <row r="155" spans="1:4">
      <c r="A155" s="5" t="str">
        <f>'Validation List'!K13</f>
        <v>.</v>
      </c>
      <c r="B155" s="3">
        <f>COUNTIFS(Table2[How comfortable is your centre? ],Condition_1,Table2[Choice of food?],A155)</f>
        <v>0</v>
      </c>
      <c r="C155" s="3" t="e">
        <f t="shared" si="16"/>
        <v>#DIV/0!</v>
      </c>
      <c r="D155" s="10" t="e">
        <f>B155/(No_who_answered_survey-COUNTIFS(Table2[How comfortable is your centre? ],Condition_1,Table2[Choice of food?],"Not answered"))*100</f>
        <v>#DIV/0!</v>
      </c>
    </row>
    <row r="156" spans="1:4">
      <c r="A156" s="5" t="str">
        <f>'Validation List'!K14</f>
        <v>.</v>
      </c>
      <c r="B156" s="3">
        <f>COUNTIFS(Table2[How comfortable is your centre? ],Condition_1,Table2[Choice of food?],A156)</f>
        <v>0</v>
      </c>
      <c r="C156" s="3" t="e">
        <f t="shared" si="16"/>
        <v>#DIV/0!</v>
      </c>
      <c r="D156" s="10" t="e">
        <f>B156/(No_who_answered_survey-COUNTIFS(Table2[How comfortable is your centre? ],Condition_1,Table2[Choice of food?],"Not answered"))*100</f>
        <v>#DIV/0!</v>
      </c>
    </row>
    <row r="157" spans="1:4">
      <c r="A157" s="5" t="str">
        <f>'Validation List'!K15</f>
        <v>Not answered</v>
      </c>
      <c r="B157" s="3">
        <f>COUNTIFS(Table2[How comfortable is your centre? ],Condition_1,Table2[Choice of food?],A157)</f>
        <v>0</v>
      </c>
      <c r="C157" s="3" t="e">
        <f t="shared" si="16"/>
        <v>#DIV/0!</v>
      </c>
      <c r="D157" s="10"/>
    </row>
    <row r="158" spans="1:4">
      <c r="A158" s="5" t="s">
        <v>39</v>
      </c>
      <c r="B158" s="3">
        <f>SUM(B148:B157)</f>
        <v>0</v>
      </c>
      <c r="C158" s="3" t="e">
        <f>SUM(C148:C157)</f>
        <v>#DIV/0!</v>
      </c>
      <c r="D158" s="10" t="e">
        <f>SUM(D148:D157)</f>
        <v>#DIV/0!</v>
      </c>
    </row>
    <row r="161" spans="1:4">
      <c r="A161" s="61" t="str">
        <f>'Validation List'!L3</f>
        <v>Amount of food?</v>
      </c>
      <c r="B161" s="61"/>
      <c r="C161" s="61"/>
      <c r="D161" s="62"/>
    </row>
    <row r="162" spans="1:4">
      <c r="A162" s="5"/>
      <c r="B162" s="3" t="s">
        <v>37</v>
      </c>
      <c r="C162" s="3" t="s">
        <v>38</v>
      </c>
      <c r="D162" s="10" t="s">
        <v>40</v>
      </c>
    </row>
    <row r="163" spans="1:4">
      <c r="A163" s="5" t="str">
        <f>'Validation List'!L6</f>
        <v>Happy</v>
      </c>
      <c r="B163" s="3">
        <f>COUNTIFS(Table2[How comfortable is your centre? ],Condition_1,Table2[Amount of food?],A163)</f>
        <v>0</v>
      </c>
      <c r="C163" s="3" t="e">
        <f t="shared" ref="C163" si="17">B163/No_who_answered_survey*100</f>
        <v>#DIV/0!</v>
      </c>
      <c r="D163" s="10" t="e">
        <f>B163/(No_who_answered_survey-COUNTIFS(Table2[How comfortable is your centre? ],Condition_1,Table2[Amount of food?],"Not answered"))*100</f>
        <v>#DIV/0!</v>
      </c>
    </row>
    <row r="164" spans="1:4">
      <c r="A164" s="5" t="str">
        <f>'Validation List'!L7</f>
        <v>Neutral</v>
      </c>
      <c r="B164" s="3">
        <f>COUNTIFS(Table2[How comfortable is your centre? ],Condition_1,Table2[Amount of food?],A164)</f>
        <v>0</v>
      </c>
      <c r="C164" s="3" t="e">
        <f t="shared" ref="C164:C172" si="18">B164/No_who_answered_survey*100</f>
        <v>#DIV/0!</v>
      </c>
      <c r="D164" s="10" t="e">
        <f>B164/(No_who_answered_survey-COUNTIFS(Table2[How comfortable is your centre? ],Condition_1,Table2[Amount of food?],"Not answered"))*100</f>
        <v>#DIV/0!</v>
      </c>
    </row>
    <row r="165" spans="1:4">
      <c r="A165" s="5" t="str">
        <f>'Validation List'!L8</f>
        <v>Unhappy</v>
      </c>
      <c r="B165" s="3">
        <f>COUNTIFS(Table2[How comfortable is your centre? ],Condition_1,Table2[Amount of food?],A165)</f>
        <v>0</v>
      </c>
      <c r="C165" s="3" t="e">
        <f t="shared" si="18"/>
        <v>#DIV/0!</v>
      </c>
      <c r="D165" s="10" t="e">
        <f>B165/(No_who_answered_survey-COUNTIFS(Table2[How comfortable is your centre? ],Condition_1,Table2[Amount of food?],"Not answered"))*100</f>
        <v>#DIV/0!</v>
      </c>
    </row>
    <row r="166" spans="1:4">
      <c r="A166" s="5" t="str">
        <f>'Validation List'!L9</f>
        <v>.</v>
      </c>
      <c r="B166" s="3">
        <f>COUNTIFS(Table2[How comfortable is your centre? ],Condition_1,Table2[Amount of food?],A166)</f>
        <v>0</v>
      </c>
      <c r="C166" s="3" t="e">
        <f t="shared" si="18"/>
        <v>#DIV/0!</v>
      </c>
      <c r="D166" s="10" t="e">
        <f>B166/(No_who_answered_survey-COUNTIFS(Table2[How comfortable is your centre? ],Condition_1,Table2[Amount of food?],"Not answered"))*100</f>
        <v>#DIV/0!</v>
      </c>
    </row>
    <row r="167" spans="1:4">
      <c r="A167" s="5" t="str">
        <f>'Validation List'!L10</f>
        <v>.</v>
      </c>
      <c r="B167" s="3">
        <f>COUNTIFS(Table2[How comfortable is your centre? ],Condition_1,Table2[Amount of food?],A167)</f>
        <v>0</v>
      </c>
      <c r="C167" s="3" t="e">
        <f t="shared" si="18"/>
        <v>#DIV/0!</v>
      </c>
      <c r="D167" s="10" t="e">
        <f>B167/(No_who_answered_survey-COUNTIFS(Table2[How comfortable is your centre? ],Condition_1,Table2[Amount of food?],"Not answered"))*100</f>
        <v>#DIV/0!</v>
      </c>
    </row>
    <row r="168" spans="1:4">
      <c r="A168" s="5" t="str">
        <f>'Validation List'!L11</f>
        <v>.</v>
      </c>
      <c r="B168" s="3">
        <f>COUNTIFS(Table2[How comfortable is your centre? ],Condition_1,Table2[Amount of food?],A168)</f>
        <v>0</v>
      </c>
      <c r="C168" s="3" t="e">
        <f t="shared" si="18"/>
        <v>#DIV/0!</v>
      </c>
      <c r="D168" s="10" t="e">
        <f>B168/(No_who_answered_survey-COUNTIFS(Table2[How comfortable is your centre? ],Condition_1,Table2[Amount of food?],"Not answered"))*100</f>
        <v>#DIV/0!</v>
      </c>
    </row>
    <row r="169" spans="1:4">
      <c r="A169" s="5" t="str">
        <f>'Validation List'!L12</f>
        <v>.</v>
      </c>
      <c r="B169" s="3">
        <f>COUNTIFS(Table2[How comfortable is your centre? ],Condition_1,Table2[Amount of food?],A169)</f>
        <v>0</v>
      </c>
      <c r="C169" s="3" t="e">
        <f t="shared" si="18"/>
        <v>#DIV/0!</v>
      </c>
      <c r="D169" s="10" t="e">
        <f>B169/(No_who_answered_survey-COUNTIFS(Table2[How comfortable is your centre? ],Condition_1,Table2[Amount of food?],"Not answered"))*100</f>
        <v>#DIV/0!</v>
      </c>
    </row>
    <row r="170" spans="1:4">
      <c r="A170" s="5" t="str">
        <f>'Validation List'!L13</f>
        <v>.</v>
      </c>
      <c r="B170" s="3">
        <f>COUNTIFS(Table2[How comfortable is your centre? ],Condition_1,Table2[Amount of food?],A170)</f>
        <v>0</v>
      </c>
      <c r="C170" s="3" t="e">
        <f t="shared" si="18"/>
        <v>#DIV/0!</v>
      </c>
      <c r="D170" s="10" t="e">
        <f>B170/(No_who_answered_survey-COUNTIFS(Table2[How comfortable is your centre? ],Condition_1,Table2[Amount of food?],"Not answered"))*100</f>
        <v>#DIV/0!</v>
      </c>
    </row>
    <row r="171" spans="1:4">
      <c r="A171" s="5" t="str">
        <f>'Validation List'!L14</f>
        <v>.</v>
      </c>
      <c r="B171" s="3">
        <f>COUNTIFS(Table2[How comfortable is your centre? ],Condition_1,Table2[Amount of food?],A171)</f>
        <v>0</v>
      </c>
      <c r="C171" s="3" t="e">
        <f t="shared" si="18"/>
        <v>#DIV/0!</v>
      </c>
      <c r="D171" s="10" t="e">
        <f>B171/(No_who_answered_survey-COUNTIFS(Table2[How comfortable is your centre? ],Condition_1,Table2[Amount of food?],"Not answered"))*100</f>
        <v>#DIV/0!</v>
      </c>
    </row>
    <row r="172" spans="1:4">
      <c r="A172" s="5" t="str">
        <f>'Validation List'!L15</f>
        <v>Not answered</v>
      </c>
      <c r="B172" s="3">
        <f>COUNTIFS(Table2[How comfortable is your centre? ],Condition_1,Table2[Amount of food?],A172)</f>
        <v>0</v>
      </c>
      <c r="C172" s="3" t="e">
        <f t="shared" si="18"/>
        <v>#DIV/0!</v>
      </c>
      <c r="D172" s="10"/>
    </row>
    <row r="173" spans="1:4">
      <c r="A173" s="5" t="s">
        <v>39</v>
      </c>
      <c r="B173" s="3">
        <f>SUM(B163:B172)</f>
        <v>0</v>
      </c>
      <c r="C173" s="3" t="e">
        <f>SUM(C163:C172)</f>
        <v>#DIV/0!</v>
      </c>
      <c r="D173" s="10" t="e">
        <f>SUM(D163:D172)</f>
        <v>#DIV/0!</v>
      </c>
    </row>
    <row r="176" spans="1:4" ht="26.25" customHeight="1">
      <c r="A176" s="61" t="str">
        <f>'Validation List'!M3</f>
        <v>Temperature of the food?</v>
      </c>
      <c r="B176" s="61"/>
      <c r="C176" s="61"/>
      <c r="D176" s="62"/>
    </row>
    <row r="177" spans="1:4">
      <c r="A177" s="5"/>
      <c r="B177" s="3" t="s">
        <v>37</v>
      </c>
      <c r="C177" s="3" t="s">
        <v>38</v>
      </c>
      <c r="D177" s="10" t="s">
        <v>40</v>
      </c>
    </row>
    <row r="178" spans="1:4">
      <c r="A178" s="5" t="str">
        <f>'Validation List'!M6</f>
        <v>Happy</v>
      </c>
      <c r="B178" s="3">
        <f>COUNTIFS(Table2[How comfortable is your centre? ],Condition_1,Table2[Temperature of the food?],A178)</f>
        <v>0</v>
      </c>
      <c r="C178" s="3" t="e">
        <f t="shared" ref="C178" si="19">B178/No_who_answered_survey*100</f>
        <v>#DIV/0!</v>
      </c>
      <c r="D178" s="10" t="e">
        <f>B178/(No_who_answered_survey-COUNTIFS(Table2[How comfortable is your centre? ],Condition_1,Table2[Temperature of the food?],"Not answered"))*100</f>
        <v>#DIV/0!</v>
      </c>
    </row>
    <row r="179" spans="1:4">
      <c r="A179" s="5" t="str">
        <f>'Validation List'!M7</f>
        <v>Neutral</v>
      </c>
      <c r="B179" s="3">
        <f>COUNTIFS(Table2[How comfortable is your centre? ],Condition_1,Table2[Temperature of the food?],A179)</f>
        <v>0</v>
      </c>
      <c r="C179" s="3" t="e">
        <f t="shared" ref="C179:C187" si="20">B179/No_who_answered_survey*100</f>
        <v>#DIV/0!</v>
      </c>
      <c r="D179" s="10" t="e">
        <f>B179/(No_who_answered_survey-COUNTIFS(Table2[How comfortable is your centre? ],Condition_1,Table2[Temperature of the food?],"Not answered"))*100</f>
        <v>#DIV/0!</v>
      </c>
    </row>
    <row r="180" spans="1:4">
      <c r="A180" s="5" t="str">
        <f>'Validation List'!M8</f>
        <v>Unhappy</v>
      </c>
      <c r="B180" s="3">
        <f>COUNTIFS(Table2[How comfortable is your centre? ],Condition_1,Table2[Temperature of the food?],A180)</f>
        <v>0</v>
      </c>
      <c r="C180" s="3" t="e">
        <f t="shared" si="20"/>
        <v>#DIV/0!</v>
      </c>
      <c r="D180" s="10" t="e">
        <f>B180/(No_who_answered_survey-COUNTIFS(Table2[How comfortable is your centre? ],Condition_1,Table2[Temperature of the food?],"Not answered"))*100</f>
        <v>#DIV/0!</v>
      </c>
    </row>
    <row r="181" spans="1:4">
      <c r="A181" s="5" t="str">
        <f>'Validation List'!M9</f>
        <v>.</v>
      </c>
      <c r="B181" s="3">
        <f>COUNTIFS(Table2[How comfortable is your centre? ],Condition_1,Table2[Temperature of the food?],A181)</f>
        <v>0</v>
      </c>
      <c r="C181" s="3" t="e">
        <f t="shared" si="20"/>
        <v>#DIV/0!</v>
      </c>
      <c r="D181" s="10" t="e">
        <f>B181/(No_who_answered_survey-COUNTIFS(Table2[How comfortable is your centre? ],Condition_1,Table2[Temperature of the food?],"Not answered"))*100</f>
        <v>#DIV/0!</v>
      </c>
    </row>
    <row r="182" spans="1:4">
      <c r="A182" s="5" t="str">
        <f>'Validation List'!M10</f>
        <v>.</v>
      </c>
      <c r="B182" s="3">
        <f>COUNTIFS(Table2[How comfortable is your centre? ],Condition_1,Table2[Temperature of the food?],A182)</f>
        <v>0</v>
      </c>
      <c r="C182" s="3" t="e">
        <f t="shared" si="20"/>
        <v>#DIV/0!</v>
      </c>
      <c r="D182" s="10" t="e">
        <f>B182/(No_who_answered_survey-COUNTIFS(Table2[How comfortable is your centre? ],Condition_1,Table2[Temperature of the food?],"Not answered"))*100</f>
        <v>#DIV/0!</v>
      </c>
    </row>
    <row r="183" spans="1:4">
      <c r="A183" s="5" t="str">
        <f>'Validation List'!M11</f>
        <v>.</v>
      </c>
      <c r="B183" s="3">
        <f>COUNTIFS(Table2[How comfortable is your centre? ],Condition_1,Table2[Temperature of the food?],A183)</f>
        <v>0</v>
      </c>
      <c r="C183" s="3" t="e">
        <f t="shared" si="20"/>
        <v>#DIV/0!</v>
      </c>
      <c r="D183" s="10" t="e">
        <f>B183/(No_who_answered_survey-COUNTIFS(Table2[How comfortable is your centre? ],Condition_1,Table2[Temperature of the food?],"Not answered"))*100</f>
        <v>#DIV/0!</v>
      </c>
    </row>
    <row r="184" spans="1:4">
      <c r="A184" s="5" t="str">
        <f>'Validation List'!M12</f>
        <v>.</v>
      </c>
      <c r="B184" s="3">
        <f>COUNTIFS(Table2[How comfortable is your centre? ],Condition_1,Table2[Temperature of the food?],A184)</f>
        <v>0</v>
      </c>
      <c r="C184" s="3" t="e">
        <f t="shared" si="20"/>
        <v>#DIV/0!</v>
      </c>
      <c r="D184" s="10" t="e">
        <f>B184/(No_who_answered_survey-COUNTIFS(Table2[How comfortable is your centre? ],Condition_1,Table2[Temperature of the food?],"Not answered"))*100</f>
        <v>#DIV/0!</v>
      </c>
    </row>
    <row r="185" spans="1:4">
      <c r="A185" s="5" t="str">
        <f>'Validation List'!M13</f>
        <v>.</v>
      </c>
      <c r="B185" s="3">
        <f>COUNTIFS(Table2[How comfortable is your centre? ],Condition_1,Table2[Temperature of the food?],A185)</f>
        <v>0</v>
      </c>
      <c r="C185" s="3" t="e">
        <f t="shared" si="20"/>
        <v>#DIV/0!</v>
      </c>
      <c r="D185" s="10" t="e">
        <f>B185/(No_who_answered_survey-COUNTIFS(Table2[How comfortable is your centre? ],Condition_1,Table2[Temperature of the food?],"Not answered"))*100</f>
        <v>#DIV/0!</v>
      </c>
    </row>
    <row r="186" spans="1:4">
      <c r="A186" s="5" t="str">
        <f>'Validation List'!M14</f>
        <v>.</v>
      </c>
      <c r="B186" s="3">
        <f>COUNTIFS(Table2[How comfortable is your centre? ],Condition_1,Table2[Temperature of the food?],A186)</f>
        <v>0</v>
      </c>
      <c r="C186" s="3" t="e">
        <f t="shared" si="20"/>
        <v>#DIV/0!</v>
      </c>
      <c r="D186" s="10" t="e">
        <f>B186/(No_who_answered_survey-COUNTIFS(Table2[How comfortable is your centre? ],Condition_1,Table2[Temperature of the food?],"Not answered"))*100</f>
        <v>#DIV/0!</v>
      </c>
    </row>
    <row r="187" spans="1:4">
      <c r="A187" s="5" t="str">
        <f>'Validation List'!M15</f>
        <v>Not answered</v>
      </c>
      <c r="B187" s="3">
        <f>COUNTIFS(Table2[How comfortable is your centre? ],Condition_1,Table2[Temperature of the food?],A187)</f>
        <v>0</v>
      </c>
      <c r="C187" s="3" t="e">
        <f t="shared" si="20"/>
        <v>#DIV/0!</v>
      </c>
      <c r="D187" s="10"/>
    </row>
    <row r="188" spans="1:4">
      <c r="A188" s="5" t="s">
        <v>39</v>
      </c>
      <c r="B188" s="3">
        <f>SUM(B178:B187)</f>
        <v>0</v>
      </c>
      <c r="C188" s="3" t="e">
        <f>SUM(C178:C187)</f>
        <v>#DIV/0!</v>
      </c>
      <c r="D188" s="10" t="e">
        <f>SUM(D178:D187)</f>
        <v>#DIV/0!</v>
      </c>
    </row>
    <row r="191" spans="1:4">
      <c r="A191" s="61" t="str">
        <f>'Validation List'!N3</f>
        <v>Times the meals are served?</v>
      </c>
      <c r="B191" s="61"/>
      <c r="C191" s="61"/>
      <c r="D191" s="62"/>
    </row>
    <row r="192" spans="1:4">
      <c r="A192" s="5"/>
      <c r="B192" s="3" t="s">
        <v>37</v>
      </c>
      <c r="C192" s="3" t="s">
        <v>38</v>
      </c>
      <c r="D192" s="10" t="s">
        <v>40</v>
      </c>
    </row>
    <row r="193" spans="1:4">
      <c r="A193" s="5" t="str">
        <f>'Validation List'!N6</f>
        <v>Happy</v>
      </c>
      <c r="B193" s="3">
        <f>COUNTIFS(Table2[How comfortable is your centre? ],Condition_1,Table2[Times the meals are served?],A193)</f>
        <v>0</v>
      </c>
      <c r="C193" s="3" t="e">
        <f t="shared" ref="C193:C202" si="21">B193/No_who_answered_survey*100</f>
        <v>#DIV/0!</v>
      </c>
      <c r="D193" s="10" t="e">
        <f>B193/(No_who_answered_survey-COUNTIFS(Table2[How comfortable is your centre? ],Condition_1,Table2[Times the meals are served?],"Not answered"))*100</f>
        <v>#DIV/0!</v>
      </c>
    </row>
    <row r="194" spans="1:4">
      <c r="A194" s="5" t="str">
        <f>'Validation List'!N7</f>
        <v>Neutral</v>
      </c>
      <c r="B194" s="3">
        <f>COUNTIFS(Table2[How comfortable is your centre? ],Condition_1,Table2[Times the meals are served?],A194)</f>
        <v>0</v>
      </c>
      <c r="C194" s="3" t="e">
        <f t="shared" si="21"/>
        <v>#DIV/0!</v>
      </c>
      <c r="D194" s="10" t="e">
        <f>B194/(No_who_answered_survey-COUNTIFS(Table2[How comfortable is your centre? ],Condition_1,Table2[Times the meals are served?],"Not answered"))*100</f>
        <v>#DIV/0!</v>
      </c>
    </row>
    <row r="195" spans="1:4">
      <c r="A195" s="5" t="str">
        <f>'Validation List'!N8</f>
        <v>Unhappy</v>
      </c>
      <c r="B195" s="3">
        <f>COUNTIFS(Table2[How comfortable is your centre? ],Condition_1,Table2[Times the meals are served?],A195)</f>
        <v>0</v>
      </c>
      <c r="C195" s="3" t="e">
        <f t="shared" si="21"/>
        <v>#DIV/0!</v>
      </c>
      <c r="D195" s="10" t="e">
        <f>B195/(No_who_answered_survey-COUNTIFS(Table2[How comfortable is your centre? ],Condition_1,Table2[Times the meals are served?],"Not answered"))*100</f>
        <v>#DIV/0!</v>
      </c>
    </row>
    <row r="196" spans="1:4">
      <c r="A196" s="5" t="str">
        <f>'Validation List'!N9</f>
        <v>.</v>
      </c>
      <c r="B196" s="3">
        <f>COUNTIFS(Table2[How comfortable is your centre? ],Condition_1,Table2[Times the meals are served?],A196)</f>
        <v>0</v>
      </c>
      <c r="C196" s="3" t="e">
        <f t="shared" si="21"/>
        <v>#DIV/0!</v>
      </c>
      <c r="D196" s="10" t="e">
        <f>B196/(No_who_answered_survey-COUNTIFS(Table2[How comfortable is your centre? ],Condition_1,Table2[Times the meals are served?],"Not answered"))*100</f>
        <v>#DIV/0!</v>
      </c>
    </row>
    <row r="197" spans="1:4">
      <c r="A197" s="5" t="str">
        <f>'Validation List'!N10</f>
        <v>.</v>
      </c>
      <c r="B197" s="3">
        <f>COUNTIFS(Table2[How comfortable is your centre? ],Condition_1,Table2[Times the meals are served?],A197)</f>
        <v>0</v>
      </c>
      <c r="C197" s="3" t="e">
        <f t="shared" si="21"/>
        <v>#DIV/0!</v>
      </c>
      <c r="D197" s="10" t="e">
        <f>B197/(No_who_answered_survey-COUNTIFS(Table2[How comfortable is your centre? ],Condition_1,Table2[Times the meals are served?],"Not answered"))*100</f>
        <v>#DIV/0!</v>
      </c>
    </row>
    <row r="198" spans="1:4">
      <c r="A198" s="5" t="str">
        <f>'Validation List'!N11</f>
        <v>.</v>
      </c>
      <c r="B198" s="3">
        <f>COUNTIFS(Table2[How comfortable is your centre? ],Condition_1,Table2[Times the meals are served?],A198)</f>
        <v>0</v>
      </c>
      <c r="C198" s="3" t="e">
        <f t="shared" ref="C198:C201" si="22">B198/No_who_answered_survey*100</f>
        <v>#DIV/0!</v>
      </c>
      <c r="D198" s="10" t="e">
        <f>B198/(No_who_answered_survey-COUNTIFS(Table2[How comfortable is your centre? ],Condition_1,Table2[Times the meals are served?],"Not answered"))*100</f>
        <v>#DIV/0!</v>
      </c>
    </row>
    <row r="199" spans="1:4">
      <c r="A199" s="5" t="str">
        <f>'Validation List'!N12</f>
        <v>.</v>
      </c>
      <c r="B199" s="3">
        <f>COUNTIFS(Table2[How comfortable is your centre? ],Condition_1,Table2[Times the meals are served?],A199)</f>
        <v>0</v>
      </c>
      <c r="C199" s="3" t="e">
        <f t="shared" si="22"/>
        <v>#DIV/0!</v>
      </c>
      <c r="D199" s="10" t="e">
        <f>B199/(No_who_answered_survey-COUNTIFS(Table2[How comfortable is your centre? ],Condition_1,Table2[Times the meals are served?],"Not answered"))*100</f>
        <v>#DIV/0!</v>
      </c>
    </row>
    <row r="200" spans="1:4">
      <c r="A200" s="5" t="str">
        <f>'Validation List'!N13</f>
        <v>.</v>
      </c>
      <c r="B200" s="3">
        <f>COUNTIFS(Table2[How comfortable is your centre? ],Condition_1,Table2[Times the meals are served?],A200)</f>
        <v>0</v>
      </c>
      <c r="C200" s="3" t="e">
        <f t="shared" si="22"/>
        <v>#DIV/0!</v>
      </c>
      <c r="D200" s="10" t="e">
        <f>B200/(No_who_answered_survey-COUNTIFS(Table2[How comfortable is your centre? ],Condition_1,Table2[Times the meals are served?],"Not answered"))*100</f>
        <v>#DIV/0!</v>
      </c>
    </row>
    <row r="201" spans="1:4">
      <c r="A201" s="5" t="str">
        <f>'Validation List'!N14</f>
        <v>.</v>
      </c>
      <c r="B201" s="3">
        <f>COUNTIFS(Table2[How comfortable is your centre? ],Condition_1,Table2[Times the meals are served?],A201)</f>
        <v>0</v>
      </c>
      <c r="C201" s="3" t="e">
        <f t="shared" si="22"/>
        <v>#DIV/0!</v>
      </c>
      <c r="D201" s="10" t="e">
        <f>B201/(No_who_answered_survey-COUNTIFS(Table2[How comfortable is your centre? ],Condition_1,Table2[Times the meals are served?],"Not answered"))*100</f>
        <v>#DIV/0!</v>
      </c>
    </row>
    <row r="202" spans="1:4">
      <c r="A202" s="5" t="str">
        <f>'Validation List'!N15</f>
        <v>Not answered</v>
      </c>
      <c r="B202" s="3">
        <f>COUNTIFS(Table2[How comfortable is your centre? ],Condition_1,Table2[Times the meals are served?],A202)</f>
        <v>0</v>
      </c>
      <c r="C202" s="3" t="e">
        <f t="shared" si="21"/>
        <v>#DIV/0!</v>
      </c>
      <c r="D202" s="10"/>
    </row>
    <row r="203" spans="1:4">
      <c r="A203" s="5" t="s">
        <v>39</v>
      </c>
      <c r="B203" s="3">
        <f>SUM(B193:B202)</f>
        <v>0</v>
      </c>
      <c r="C203" s="3" t="e">
        <f>SUM(C193:C202)</f>
        <v>#DIV/0!</v>
      </c>
      <c r="D203" s="10" t="e">
        <f>SUM(D193:D202)</f>
        <v>#DIV/0!</v>
      </c>
    </row>
    <row r="206" spans="1:4">
      <c r="A206" s="61" t="str">
        <f>'Validation List'!O3</f>
        <v>Amount of time you get to eat your meal?</v>
      </c>
      <c r="B206" s="61"/>
      <c r="C206" s="61"/>
      <c r="D206" s="62"/>
    </row>
    <row r="207" spans="1:4">
      <c r="A207" s="5"/>
      <c r="B207" s="3" t="s">
        <v>37</v>
      </c>
      <c r="C207" s="3" t="s">
        <v>38</v>
      </c>
      <c r="D207" s="10" t="s">
        <v>40</v>
      </c>
    </row>
    <row r="208" spans="1:4">
      <c r="A208" s="5" t="str">
        <f>'Validation List'!O6</f>
        <v>Happy</v>
      </c>
      <c r="B208" s="3">
        <f>COUNTIFS(Table2[How comfortable is your centre? ],Condition_1,Table2[Amount of time you get to eat your meal?],A208)</f>
        <v>0</v>
      </c>
      <c r="C208" s="3" t="e">
        <f t="shared" ref="C208:C217" si="23">B208/No_who_answered_survey*100</f>
        <v>#DIV/0!</v>
      </c>
      <c r="D208" s="10" t="e">
        <f>B208/(No_who_answered_survey-COUNTIFS(Table2[How comfortable is your centre? ],Condition_1,Table2[Amount of time you get to eat your meal?],"Not answered"))*100</f>
        <v>#DIV/0!</v>
      </c>
    </row>
    <row r="209" spans="1:4">
      <c r="A209" s="5" t="str">
        <f>'Validation List'!O7</f>
        <v>Neutral</v>
      </c>
      <c r="B209" s="3">
        <f>COUNTIFS(Table2[How comfortable is your centre? ],Condition_1,Table2[Amount of time you get to eat your meal?],A209)</f>
        <v>0</v>
      </c>
      <c r="C209" s="3" t="e">
        <f t="shared" si="23"/>
        <v>#DIV/0!</v>
      </c>
      <c r="D209" s="10" t="e">
        <f>B209/(No_who_answered_survey-COUNTIFS(Table2[How comfortable is your centre? ],Condition_1,Table2[Amount of time you get to eat your meal?],"Not answered"))*100</f>
        <v>#DIV/0!</v>
      </c>
    </row>
    <row r="210" spans="1:4">
      <c r="A210" s="5" t="str">
        <f>'Validation List'!O8</f>
        <v>Unhappy</v>
      </c>
      <c r="B210" s="3">
        <f>COUNTIFS(Table2[How comfortable is your centre? ],Condition_1,Table2[Amount of time you get to eat your meal?],A210)</f>
        <v>0</v>
      </c>
      <c r="C210" s="3" t="e">
        <f t="shared" si="23"/>
        <v>#DIV/0!</v>
      </c>
      <c r="D210" s="10" t="e">
        <f>B210/(No_who_answered_survey-COUNTIFS(Table2[How comfortable is your centre? ],Condition_1,Table2[Amount of time you get to eat your meal?],"Not answered"))*100</f>
        <v>#DIV/0!</v>
      </c>
    </row>
    <row r="211" spans="1:4">
      <c r="A211" s="5" t="str">
        <f>'Validation List'!O9</f>
        <v>.</v>
      </c>
      <c r="B211" s="3">
        <f>COUNTIFS(Table2[How comfortable is your centre? ],Condition_1,Table2[Amount of time you get to eat your meal?],A211)</f>
        <v>0</v>
      </c>
      <c r="C211" s="3" t="e">
        <f t="shared" si="23"/>
        <v>#DIV/0!</v>
      </c>
      <c r="D211" s="10" t="e">
        <f>B211/(No_who_answered_survey-COUNTIFS(Table2[How comfortable is your centre? ],Condition_1,Table2[Amount of time you get to eat your meal?],"Not answered"))*100</f>
        <v>#DIV/0!</v>
      </c>
    </row>
    <row r="212" spans="1:4">
      <c r="A212" s="5" t="str">
        <f>'Validation List'!O10</f>
        <v>.</v>
      </c>
      <c r="B212" s="3">
        <f>COUNTIFS(Table2[How comfortable is your centre? ],Condition_1,Table2[Amount of time you get to eat your meal?],A212)</f>
        <v>0</v>
      </c>
      <c r="C212" s="3" t="e">
        <f t="shared" si="23"/>
        <v>#DIV/0!</v>
      </c>
      <c r="D212" s="10" t="e">
        <f>B212/(No_who_answered_survey-COUNTIFS(Table2[How comfortable is your centre? ],Condition_1,Table2[Amount of time you get to eat your meal?],"Not answered"))*100</f>
        <v>#DIV/0!</v>
      </c>
    </row>
    <row r="213" spans="1:4">
      <c r="A213" s="5" t="str">
        <f>'Validation List'!O11</f>
        <v>.</v>
      </c>
      <c r="B213" s="3">
        <f>COUNTIFS(Table2[How comfortable is your centre? ],Condition_1,Table2[Amount of time you get to eat your meal?],A213)</f>
        <v>0</v>
      </c>
      <c r="C213" s="3" t="e">
        <f t="shared" ref="C213:C216" si="24">B213/No_who_answered_survey*100</f>
        <v>#DIV/0!</v>
      </c>
      <c r="D213" s="10" t="e">
        <f>B213/(No_who_answered_survey-COUNTIFS(Table2[How comfortable is your centre? ],Condition_1,Table2[Amount of time you get to eat your meal?],"Not answered"))*100</f>
        <v>#DIV/0!</v>
      </c>
    </row>
    <row r="214" spans="1:4">
      <c r="A214" s="5" t="str">
        <f>'Validation List'!O12</f>
        <v>.</v>
      </c>
      <c r="B214" s="3">
        <f>COUNTIFS(Table2[How comfortable is your centre? ],Condition_1,Table2[Amount of time you get to eat your meal?],A214)</f>
        <v>0</v>
      </c>
      <c r="C214" s="3" t="e">
        <f t="shared" si="24"/>
        <v>#DIV/0!</v>
      </c>
      <c r="D214" s="10" t="e">
        <f>B214/(No_who_answered_survey-COUNTIFS(Table2[How comfortable is your centre? ],Condition_1,Table2[Amount of time you get to eat your meal?],"Not answered"))*100</f>
        <v>#DIV/0!</v>
      </c>
    </row>
    <row r="215" spans="1:4">
      <c r="A215" s="5" t="str">
        <f>'Validation List'!O13</f>
        <v>.</v>
      </c>
      <c r="B215" s="3">
        <f>COUNTIFS(Table2[How comfortable is your centre? ],Condition_1,Table2[Amount of time you get to eat your meal?],A215)</f>
        <v>0</v>
      </c>
      <c r="C215" s="3" t="e">
        <f t="shared" si="24"/>
        <v>#DIV/0!</v>
      </c>
      <c r="D215" s="10" t="e">
        <f>B215/(No_who_answered_survey-COUNTIFS(Table2[How comfortable is your centre? ],Condition_1,Table2[Amount of time you get to eat your meal?],"Not answered"))*100</f>
        <v>#DIV/0!</v>
      </c>
    </row>
    <row r="216" spans="1:4">
      <c r="A216" s="5" t="str">
        <f>'Validation List'!O14</f>
        <v>.</v>
      </c>
      <c r="B216" s="3">
        <f>COUNTIFS(Table2[How comfortable is your centre? ],Condition_1,Table2[Amount of time you get to eat your meal?],A216)</f>
        <v>0</v>
      </c>
      <c r="C216" s="3" t="e">
        <f t="shared" si="24"/>
        <v>#DIV/0!</v>
      </c>
      <c r="D216" s="10" t="e">
        <f>B216/(No_who_answered_survey-COUNTIFS(Table2[How comfortable is your centre? ],Condition_1,Table2[Amount of time you get to eat your meal?],"Not answered"))*100</f>
        <v>#DIV/0!</v>
      </c>
    </row>
    <row r="217" spans="1:4">
      <c r="A217" s="5" t="str">
        <f>'Validation List'!O15</f>
        <v>Not answered</v>
      </c>
      <c r="B217" s="3">
        <f>COUNTIFS(Table2[How comfortable is your centre? ],Condition_1,Table2[Amount of time you get to eat your meal?],A217)</f>
        <v>0</v>
      </c>
      <c r="C217" s="3" t="e">
        <f t="shared" si="23"/>
        <v>#DIV/0!</v>
      </c>
      <c r="D217" s="10"/>
    </row>
    <row r="218" spans="1:4">
      <c r="A218" s="5" t="s">
        <v>39</v>
      </c>
      <c r="B218" s="3">
        <f>SUM(B208:B217)</f>
        <v>0</v>
      </c>
      <c r="C218" s="3" t="e">
        <f>SUM(C208:C217)</f>
        <v>#DIV/0!</v>
      </c>
      <c r="D218" s="10" t="e">
        <f>SUM(D208:D217)</f>
        <v>#DIV/0!</v>
      </c>
    </row>
    <row r="221" spans="1:4" ht="27" customHeight="1">
      <c r="A221" s="61" t="str">
        <f>'Validation List'!P3</f>
        <v>Access to drinks and snacks outside of mealtimes?</v>
      </c>
      <c r="B221" s="61"/>
      <c r="C221" s="61"/>
      <c r="D221" s="62"/>
    </row>
    <row r="222" spans="1:4">
      <c r="A222" s="5"/>
      <c r="B222" s="3" t="s">
        <v>37</v>
      </c>
      <c r="C222" s="3" t="s">
        <v>38</v>
      </c>
      <c r="D222" s="10" t="s">
        <v>40</v>
      </c>
    </row>
    <row r="223" spans="1:4">
      <c r="A223" s="5" t="str">
        <f>'Validation List'!P6</f>
        <v>Happy</v>
      </c>
      <c r="B223" s="3">
        <f>COUNTIFS(Table2[How comfortable is your centre? ],Condition_1,Table2[Access to drinks and snacks outside of mealtimes?],A223)</f>
        <v>0</v>
      </c>
      <c r="C223" s="3" t="e">
        <f t="shared" ref="C223:C232" si="25">B223/No_who_answered_survey*100</f>
        <v>#DIV/0!</v>
      </c>
      <c r="D223" s="10" t="e">
        <f>B223/(No_who_answered_survey-COUNTIFS(Table2[How comfortable is your centre? ],Condition_1,Table2[Access to drinks and snacks outside of mealtimes?],"Not answered"))*100</f>
        <v>#DIV/0!</v>
      </c>
    </row>
    <row r="224" spans="1:4">
      <c r="A224" s="5" t="str">
        <f>'Validation List'!P7</f>
        <v>Neutral</v>
      </c>
      <c r="B224" s="3">
        <f>COUNTIFS(Table2[How comfortable is your centre? ],Condition_1,Table2[Access to drinks and snacks outside of mealtimes?],A224)</f>
        <v>0</v>
      </c>
      <c r="C224" s="3" t="e">
        <f t="shared" si="25"/>
        <v>#DIV/0!</v>
      </c>
      <c r="D224" s="10" t="e">
        <f>B224/(No_who_answered_survey-COUNTIFS(Table2[How comfortable is your centre? ],Condition_1,Table2[Access to drinks and snacks outside of mealtimes?],"Not answered"))*100</f>
        <v>#DIV/0!</v>
      </c>
    </row>
    <row r="225" spans="1:4">
      <c r="A225" s="5" t="str">
        <f>'Validation List'!P8</f>
        <v>Unhappy</v>
      </c>
      <c r="B225" s="3">
        <f>COUNTIFS(Table2[How comfortable is your centre? ],Condition_1,Table2[Access to drinks and snacks outside of mealtimes?],A225)</f>
        <v>0</v>
      </c>
      <c r="C225" s="3" t="e">
        <f t="shared" si="25"/>
        <v>#DIV/0!</v>
      </c>
      <c r="D225" s="10" t="e">
        <f>B225/(No_who_answered_survey-COUNTIFS(Table2[How comfortable is your centre? ],Condition_1,Table2[Access to drinks and snacks outside of mealtimes?],"Not answered"))*100</f>
        <v>#DIV/0!</v>
      </c>
    </row>
    <row r="226" spans="1:4">
      <c r="A226" s="5" t="str">
        <f>'Validation List'!P9</f>
        <v>.</v>
      </c>
      <c r="B226" s="3">
        <f>COUNTIFS(Table2[How comfortable is your centre? ],Condition_1,Table2[Access to drinks and snacks outside of mealtimes?],A226)</f>
        <v>0</v>
      </c>
      <c r="C226" s="3" t="e">
        <f t="shared" si="25"/>
        <v>#DIV/0!</v>
      </c>
      <c r="D226" s="10" t="e">
        <f>B226/(No_who_answered_survey-COUNTIFS(Table2[How comfortable is your centre? ],Condition_1,Table2[Access to drinks and snacks outside of mealtimes?],"Not answered"))*100</f>
        <v>#DIV/0!</v>
      </c>
    </row>
    <row r="227" spans="1:4">
      <c r="A227" s="5" t="str">
        <f>'Validation List'!P10</f>
        <v>.</v>
      </c>
      <c r="B227" s="3">
        <f>COUNTIFS(Table2[How comfortable is your centre? ],Condition_1,Table2[Access to drinks and snacks outside of mealtimes?],A227)</f>
        <v>0</v>
      </c>
      <c r="C227" s="3" t="e">
        <f t="shared" si="25"/>
        <v>#DIV/0!</v>
      </c>
      <c r="D227" s="10" t="e">
        <f>B227/(No_who_answered_survey-COUNTIFS(Table2[How comfortable is your centre? ],Condition_1,Table2[Access to drinks and snacks outside of mealtimes?],"Not answered"))*100</f>
        <v>#DIV/0!</v>
      </c>
    </row>
    <row r="228" spans="1:4">
      <c r="A228" s="5" t="str">
        <f>'Validation List'!P11</f>
        <v>.</v>
      </c>
      <c r="B228" s="3">
        <f>COUNTIFS(Table2[How comfortable is your centre? ],Condition_1,Table2[Access to drinks and snacks outside of mealtimes?],A228)</f>
        <v>0</v>
      </c>
      <c r="C228" s="3" t="e">
        <f t="shared" ref="C228:C231" si="26">B228/No_who_answered_survey*100</f>
        <v>#DIV/0!</v>
      </c>
      <c r="D228" s="10" t="e">
        <f>B228/(No_who_answered_survey-COUNTIFS(Table2[How comfortable is your centre? ],Condition_1,Table2[Access to drinks and snacks outside of mealtimes?],"Not answered"))*100</f>
        <v>#DIV/0!</v>
      </c>
    </row>
    <row r="229" spans="1:4">
      <c r="A229" s="5" t="str">
        <f>'Validation List'!P12</f>
        <v>.</v>
      </c>
      <c r="B229" s="3">
        <f>COUNTIFS(Table2[How comfortable is your centre? ],Condition_1,Table2[Access to drinks and snacks outside of mealtimes?],A229)</f>
        <v>0</v>
      </c>
      <c r="C229" s="3" t="e">
        <f t="shared" si="26"/>
        <v>#DIV/0!</v>
      </c>
      <c r="D229" s="10" t="e">
        <f>B229/(No_who_answered_survey-COUNTIFS(Table2[How comfortable is your centre? ],Condition_1,Table2[Access to drinks and snacks outside of mealtimes?],"Not answered"))*100</f>
        <v>#DIV/0!</v>
      </c>
    </row>
    <row r="230" spans="1:4">
      <c r="A230" s="5" t="str">
        <f>'Validation List'!P13</f>
        <v>.</v>
      </c>
      <c r="B230" s="3">
        <f>COUNTIFS(Table2[How comfortable is your centre? ],Condition_1,Table2[Access to drinks and snacks outside of mealtimes?],A230)</f>
        <v>0</v>
      </c>
      <c r="C230" s="3" t="e">
        <f t="shared" si="26"/>
        <v>#DIV/0!</v>
      </c>
      <c r="D230" s="10" t="e">
        <f>B230/(No_who_answered_survey-COUNTIFS(Table2[How comfortable is your centre? ],Condition_1,Table2[Access to drinks and snacks outside of mealtimes?],"Not answered"))*100</f>
        <v>#DIV/0!</v>
      </c>
    </row>
    <row r="231" spans="1:4">
      <c r="A231" s="5" t="str">
        <f>'Validation List'!P14</f>
        <v>.</v>
      </c>
      <c r="B231" s="3">
        <f>COUNTIFS(Table2[How comfortable is your centre? ],Condition_1,Table2[Access to drinks and snacks outside of mealtimes?],A231)</f>
        <v>0</v>
      </c>
      <c r="C231" s="3" t="e">
        <f t="shared" si="26"/>
        <v>#DIV/0!</v>
      </c>
      <c r="D231" s="10" t="e">
        <f>B231/(No_who_answered_survey-COUNTIFS(Table2[How comfortable is your centre? ],Condition_1,Table2[Access to drinks and snacks outside of mealtimes?],"Not answered"))*100</f>
        <v>#DIV/0!</v>
      </c>
    </row>
    <row r="232" spans="1:4">
      <c r="A232" s="5" t="str">
        <f>'Validation List'!P15</f>
        <v>Not answered</v>
      </c>
      <c r="B232" s="3">
        <f>COUNTIFS(Table2[How comfortable is your centre? ],Condition_1,Table2[Access to drinks and snacks outside of mealtimes?],A232)</f>
        <v>0</v>
      </c>
      <c r="C232" s="3" t="e">
        <f t="shared" si="25"/>
        <v>#DIV/0!</v>
      </c>
      <c r="D232" s="10"/>
    </row>
    <row r="233" spans="1:4">
      <c r="A233" s="5" t="s">
        <v>39</v>
      </c>
      <c r="B233" s="3">
        <f>SUM(B223:B232)</f>
        <v>0</v>
      </c>
      <c r="C233" s="3" t="e">
        <f>SUM(C223:C232)</f>
        <v>#DIV/0!</v>
      </c>
      <c r="D233" s="10" t="e">
        <f>SUM(D223:D232)</f>
        <v>#DIV/0!</v>
      </c>
    </row>
    <row r="236" spans="1:4" ht="20.25" customHeight="1">
      <c r="A236" s="58" t="str">
        <f>'Validation List'!Q3</f>
        <v>Arrangements for grocery shopping?</v>
      </c>
      <c r="B236" s="59"/>
      <c r="C236" s="59"/>
      <c r="D236" s="60"/>
    </row>
    <row r="237" spans="1:4">
      <c r="A237" s="5"/>
      <c r="B237" s="3" t="s">
        <v>37</v>
      </c>
      <c r="C237" s="3" t="s">
        <v>38</v>
      </c>
      <c r="D237" s="10" t="s">
        <v>40</v>
      </c>
    </row>
    <row r="238" spans="1:4">
      <c r="A238" s="5" t="str">
        <f>'Validation List'!Q6</f>
        <v>Happy</v>
      </c>
      <c r="B238" s="3">
        <f>COUNTIFS(Table2[How comfortable is your centre? ],Condition_1,Table2[Arrangements for grocery shopping?],A238)</f>
        <v>0</v>
      </c>
      <c r="C238" s="3" t="e">
        <f t="shared" ref="C238:C247" si="27">B238/No_who_answered_survey*100</f>
        <v>#DIV/0!</v>
      </c>
      <c r="D238" s="10" t="e">
        <f>B238/(No_who_answered_survey-COUNTIFS(Table2[How comfortable is your centre? ],Condition_1,Table2[Arrangements for grocery shopping?],"Not answered"))*100</f>
        <v>#DIV/0!</v>
      </c>
    </row>
    <row r="239" spans="1:4">
      <c r="A239" s="5" t="str">
        <f>'Validation List'!Q7</f>
        <v>Neutral</v>
      </c>
      <c r="B239" s="3">
        <f>COUNTIFS(Table2[How comfortable is your centre? ],Condition_1,Table2[Arrangements for grocery shopping?],A239)</f>
        <v>0</v>
      </c>
      <c r="C239" s="3" t="e">
        <f t="shared" si="27"/>
        <v>#DIV/0!</v>
      </c>
      <c r="D239" s="10" t="e">
        <f>B239/(No_who_answered_survey-COUNTIFS(Table2[How comfortable is your centre? ],Condition_1,Table2[Arrangements for grocery shopping?],"Not answered"))*100</f>
        <v>#DIV/0!</v>
      </c>
    </row>
    <row r="240" spans="1:4">
      <c r="A240" s="5" t="str">
        <f>'Validation List'!Q8</f>
        <v>Unhappy</v>
      </c>
      <c r="B240" s="3">
        <f>COUNTIFS(Table2[How comfortable is your centre? ],Condition_1,Table2[Arrangements for grocery shopping?],A240)</f>
        <v>0</v>
      </c>
      <c r="C240" s="3" t="e">
        <f t="shared" si="27"/>
        <v>#DIV/0!</v>
      </c>
      <c r="D240" s="10" t="e">
        <f>B240/(No_who_answered_survey-COUNTIFS(Table2[How comfortable is your centre? ],Condition_1,Table2[Arrangements for grocery shopping?],"Not answered"))*100</f>
        <v>#DIV/0!</v>
      </c>
    </row>
    <row r="241" spans="1:4">
      <c r="A241" s="5" t="str">
        <f>'Validation List'!Q9</f>
        <v>.</v>
      </c>
      <c r="B241" s="3">
        <f>COUNTIFS(Table2[How comfortable is your centre? ],Condition_1,Table2[Arrangements for grocery shopping?],A241)</f>
        <v>0</v>
      </c>
      <c r="C241" s="3" t="e">
        <f t="shared" si="27"/>
        <v>#DIV/0!</v>
      </c>
      <c r="D241" s="10" t="e">
        <f>B241/(No_who_answered_survey-COUNTIFS(Table2[How comfortable is your centre? ],Condition_1,Table2[Arrangements for grocery shopping?],"Not answered"))*100</f>
        <v>#DIV/0!</v>
      </c>
    </row>
    <row r="242" spans="1:4">
      <c r="A242" s="5" t="str">
        <f>'Validation List'!Q10</f>
        <v>.</v>
      </c>
      <c r="B242" s="3">
        <f>COUNTIFS(Table2[How comfortable is your centre? ],Condition_1,Table2[Arrangements for grocery shopping?],A242)</f>
        <v>0</v>
      </c>
      <c r="C242" s="3" t="e">
        <f t="shared" si="27"/>
        <v>#DIV/0!</v>
      </c>
      <c r="D242" s="10" t="e">
        <f>B242/(No_who_answered_survey-COUNTIFS(Table2[How comfortable is your centre? ],Condition_1,Table2[Arrangements for grocery shopping?],"Not answered"))*100</f>
        <v>#DIV/0!</v>
      </c>
    </row>
    <row r="243" spans="1:4">
      <c r="A243" s="5" t="str">
        <f>'Validation List'!Q11</f>
        <v>.</v>
      </c>
      <c r="B243" s="3">
        <f>COUNTIFS(Table2[How comfortable is your centre? ],Condition_1,Table2[Arrangements for grocery shopping?],A243)</f>
        <v>0</v>
      </c>
      <c r="C243" s="3" t="e">
        <f t="shared" ref="C243:C246" si="28">B243/No_who_answered_survey*100</f>
        <v>#DIV/0!</v>
      </c>
      <c r="D243" s="10" t="e">
        <f>B243/(No_who_answered_survey-COUNTIFS(Table2[How comfortable is your centre? ],Condition_1,Table2[Arrangements for grocery shopping?],"Not answered"))*100</f>
        <v>#DIV/0!</v>
      </c>
    </row>
    <row r="244" spans="1:4">
      <c r="A244" s="5" t="str">
        <f>'Validation List'!Q12</f>
        <v>.</v>
      </c>
      <c r="B244" s="3">
        <f>COUNTIFS(Table2[How comfortable is your centre? ],Condition_1,Table2[Arrangements for grocery shopping?],A244)</f>
        <v>0</v>
      </c>
      <c r="C244" s="3" t="e">
        <f t="shared" si="28"/>
        <v>#DIV/0!</v>
      </c>
      <c r="D244" s="10" t="e">
        <f>B244/(No_who_answered_survey-COUNTIFS(Table2[How comfortable is your centre? ],Condition_1,Table2[Arrangements for grocery shopping?],"Not answered"))*100</f>
        <v>#DIV/0!</v>
      </c>
    </row>
    <row r="245" spans="1:4">
      <c r="A245" s="5" t="str">
        <f>'Validation List'!Q13</f>
        <v>.</v>
      </c>
      <c r="B245" s="3">
        <f>COUNTIFS(Table2[How comfortable is your centre? ],Condition_1,Table2[Arrangements for grocery shopping?],A245)</f>
        <v>0</v>
      </c>
      <c r="C245" s="3" t="e">
        <f t="shared" si="28"/>
        <v>#DIV/0!</v>
      </c>
      <c r="D245" s="10" t="e">
        <f>B245/(No_who_answered_survey-COUNTIFS(Table2[How comfortable is your centre? ],Condition_1,Table2[Arrangements for grocery shopping?],"Not answered"))*100</f>
        <v>#DIV/0!</v>
      </c>
    </row>
    <row r="246" spans="1:4">
      <c r="A246" s="5" t="str">
        <f>'Validation List'!Q14</f>
        <v>.</v>
      </c>
      <c r="B246" s="3">
        <f>COUNTIFS(Table2[How comfortable is your centre? ],Condition_1,Table2[Arrangements for grocery shopping?],A246)</f>
        <v>0</v>
      </c>
      <c r="C246" s="3" t="e">
        <f t="shared" si="28"/>
        <v>#DIV/0!</v>
      </c>
      <c r="D246" s="10" t="e">
        <f>B246/(No_who_answered_survey-COUNTIFS(Table2[How comfortable is your centre? ],Condition_1,Table2[Arrangements for grocery shopping?],"Not answered"))*100</f>
        <v>#DIV/0!</v>
      </c>
    </row>
    <row r="247" spans="1:4">
      <c r="A247" s="5" t="str">
        <f>'Validation List'!Q15</f>
        <v>Not answered</v>
      </c>
      <c r="B247" s="3">
        <f>COUNTIFS(Table2[How comfortable is your centre? ],Condition_1,Table2[Arrangements for grocery shopping?],A247)</f>
        <v>0</v>
      </c>
      <c r="C247" s="3" t="e">
        <f t="shared" si="27"/>
        <v>#DIV/0!</v>
      </c>
      <c r="D247" s="10"/>
    </row>
    <row r="248" spans="1:4">
      <c r="A248" s="5" t="s">
        <v>39</v>
      </c>
      <c r="B248" s="3">
        <f>SUM(B238:B247)</f>
        <v>0</v>
      </c>
      <c r="C248" s="3" t="e">
        <f>SUM(C238:C247)</f>
        <v>#DIV/0!</v>
      </c>
      <c r="D248" s="10" t="e">
        <f>SUM(D238:D247)</f>
        <v>#DIV/0!</v>
      </c>
    </row>
    <row r="251" spans="1:4">
      <c r="A251" s="61" t="str">
        <f>'Validation List'!R3</f>
        <v>Cooking and dining facilities available?</v>
      </c>
      <c r="B251" s="61"/>
      <c r="C251" s="61"/>
      <c r="D251" s="62"/>
    </row>
    <row r="252" spans="1:4">
      <c r="A252" s="5"/>
      <c r="B252" s="3" t="s">
        <v>37</v>
      </c>
      <c r="C252" s="3" t="s">
        <v>38</v>
      </c>
      <c r="D252" s="10" t="s">
        <v>40</v>
      </c>
    </row>
    <row r="253" spans="1:4">
      <c r="A253" s="5" t="str">
        <f>'Validation List'!R6</f>
        <v>Happy</v>
      </c>
      <c r="B253" s="3">
        <f>COUNTIFS(Table2[How comfortable is your centre? ],Condition_1,Table2[Cooking and dining facilities available?],A253)</f>
        <v>0</v>
      </c>
      <c r="C253" s="3" t="e">
        <f t="shared" ref="C253:C262" si="29">B253/No_who_answered_survey*100</f>
        <v>#DIV/0!</v>
      </c>
      <c r="D253" s="10" t="e">
        <f>B253/(No_who_answered_survey-COUNTIFS(Table2[How comfortable is your centre? ],Condition_1,Table2[Cooking and dining facilities available?],"Not answered"))*100</f>
        <v>#DIV/0!</v>
      </c>
    </row>
    <row r="254" spans="1:4">
      <c r="A254" s="5" t="str">
        <f>'Validation List'!R7</f>
        <v>Neutral</v>
      </c>
      <c r="B254" s="3">
        <f>COUNTIFS(Table2[How comfortable is your centre? ],Condition_1,Table2[Cooking and dining facilities available?],A254)</f>
        <v>0</v>
      </c>
      <c r="C254" s="3" t="e">
        <f t="shared" si="29"/>
        <v>#DIV/0!</v>
      </c>
      <c r="D254" s="10" t="e">
        <f>B254/(No_who_answered_survey-COUNTIFS(Table2[How comfortable is your centre? ],Condition_1,Table2[Cooking and dining facilities available?],"Not answered"))*100</f>
        <v>#DIV/0!</v>
      </c>
    </row>
    <row r="255" spans="1:4">
      <c r="A255" s="5" t="str">
        <f>'Validation List'!R8</f>
        <v>Unhappy</v>
      </c>
      <c r="B255" s="3">
        <f>COUNTIFS(Table2[How comfortable is your centre? ],Condition_1,Table2[Cooking and dining facilities available?],A255)</f>
        <v>0</v>
      </c>
      <c r="C255" s="3" t="e">
        <f t="shared" si="29"/>
        <v>#DIV/0!</v>
      </c>
      <c r="D255" s="10" t="e">
        <f>B255/(No_who_answered_survey-COUNTIFS(Table2[How comfortable is your centre? ],Condition_1,Table2[Cooking and dining facilities available?],"Not answered"))*100</f>
        <v>#DIV/0!</v>
      </c>
    </row>
    <row r="256" spans="1:4">
      <c r="A256" s="5" t="str">
        <f>'Validation List'!R9</f>
        <v>.</v>
      </c>
      <c r="B256" s="3">
        <f>COUNTIFS(Table2[How comfortable is your centre? ],Condition_1,Table2[Cooking and dining facilities available?],A256)</f>
        <v>0</v>
      </c>
      <c r="C256" s="3" t="e">
        <f t="shared" si="29"/>
        <v>#DIV/0!</v>
      </c>
      <c r="D256" s="10" t="e">
        <f>B256/(No_who_answered_survey-COUNTIFS(Table2[How comfortable is your centre? ],Condition_1,Table2[Cooking and dining facilities available?],"Not answered"))*100</f>
        <v>#DIV/0!</v>
      </c>
    </row>
    <row r="257" spans="1:4">
      <c r="A257" s="5" t="str">
        <f>'Validation List'!R10</f>
        <v>.</v>
      </c>
      <c r="B257" s="3">
        <f>COUNTIFS(Table2[How comfortable is your centre? ],Condition_1,Table2[Cooking and dining facilities available?],A257)</f>
        <v>0</v>
      </c>
      <c r="C257" s="3" t="e">
        <f t="shared" si="29"/>
        <v>#DIV/0!</v>
      </c>
      <c r="D257" s="10" t="e">
        <f>B257/(No_who_answered_survey-COUNTIFS(Table2[How comfortable is your centre? ],Condition_1,Table2[Cooking and dining facilities available?],"Not answered"))*100</f>
        <v>#DIV/0!</v>
      </c>
    </row>
    <row r="258" spans="1:4">
      <c r="A258" s="5" t="str">
        <f>'Validation List'!R11</f>
        <v>.</v>
      </c>
      <c r="B258" s="3">
        <f>COUNTIFS(Table2[How comfortable is your centre? ],Condition_1,Table2[Cooking and dining facilities available?],A258)</f>
        <v>0</v>
      </c>
      <c r="C258" s="3" t="e">
        <f t="shared" ref="C258:C261" si="30">B258/No_who_answered_survey*100</f>
        <v>#DIV/0!</v>
      </c>
      <c r="D258" s="10" t="e">
        <f>B258/(No_who_answered_survey-COUNTIFS(Table2[How comfortable is your centre? ],Condition_1,Table2[Cooking and dining facilities available?],"Not answered"))*100</f>
        <v>#DIV/0!</v>
      </c>
    </row>
    <row r="259" spans="1:4">
      <c r="A259" s="5" t="str">
        <f>'Validation List'!R12</f>
        <v>.</v>
      </c>
      <c r="B259" s="3">
        <f>COUNTIFS(Table2[How comfortable is your centre? ],Condition_1,Table2[Cooking and dining facilities available?],A259)</f>
        <v>0</v>
      </c>
      <c r="C259" s="3" t="e">
        <f t="shared" si="30"/>
        <v>#DIV/0!</v>
      </c>
      <c r="D259" s="10" t="e">
        <f>B259/(No_who_answered_survey-COUNTIFS(Table2[How comfortable is your centre? ],Condition_1,Table2[Cooking and dining facilities available?],"Not answered"))*100</f>
        <v>#DIV/0!</v>
      </c>
    </row>
    <row r="260" spans="1:4">
      <c r="A260" s="5" t="str">
        <f>'Validation List'!R13</f>
        <v>.</v>
      </c>
      <c r="B260" s="3">
        <f>COUNTIFS(Table2[How comfortable is your centre? ],Condition_1,Table2[Cooking and dining facilities available?],A260)</f>
        <v>0</v>
      </c>
      <c r="C260" s="3" t="e">
        <f t="shared" si="30"/>
        <v>#DIV/0!</v>
      </c>
      <c r="D260" s="10" t="e">
        <f>B260/(No_who_answered_survey-COUNTIFS(Table2[How comfortable is your centre? ],Condition_1,Table2[Cooking and dining facilities available?],"Not answered"))*100</f>
        <v>#DIV/0!</v>
      </c>
    </row>
    <row r="261" spans="1:4">
      <c r="A261" s="5" t="str">
        <f>'Validation List'!R14</f>
        <v>.</v>
      </c>
      <c r="B261" s="3">
        <f>COUNTIFS(Table2[How comfortable is your centre? ],Condition_1,Table2[Cooking and dining facilities available?],A261)</f>
        <v>0</v>
      </c>
      <c r="C261" s="3" t="e">
        <f t="shared" si="30"/>
        <v>#DIV/0!</v>
      </c>
      <c r="D261" s="10" t="e">
        <f>B261/(No_who_answered_survey-COUNTIFS(Table2[How comfortable is your centre? ],Condition_1,Table2[Cooking and dining facilities available?],"Not answered"))*100</f>
        <v>#DIV/0!</v>
      </c>
    </row>
    <row r="262" spans="1:4">
      <c r="A262" s="5" t="str">
        <f>'Validation List'!R15</f>
        <v>Not answered</v>
      </c>
      <c r="B262" s="3">
        <f>COUNTIFS(Table2[How comfortable is your centre? ],Condition_1,Table2[Cooking and dining facilities available?],A262)</f>
        <v>0</v>
      </c>
      <c r="C262" s="3" t="e">
        <f t="shared" si="29"/>
        <v>#DIV/0!</v>
      </c>
      <c r="D262" s="10"/>
    </row>
    <row r="263" spans="1:4">
      <c r="A263" s="5" t="s">
        <v>39</v>
      </c>
      <c r="B263" s="3">
        <f>SUM(B253:B262)</f>
        <v>0</v>
      </c>
      <c r="C263" s="3" t="e">
        <f>SUM(C253:C262)</f>
        <v>#DIV/0!</v>
      </c>
      <c r="D263" s="10" t="e">
        <f>SUM(D253:D262)</f>
        <v>#DIV/0!</v>
      </c>
    </row>
    <row r="266" spans="1:4">
      <c r="A266" s="61" t="str">
        <f>'Validation List'!S3</f>
        <v>The arrangements for visitors?</v>
      </c>
      <c r="B266" s="61"/>
      <c r="C266" s="61"/>
      <c r="D266" s="62"/>
    </row>
    <row r="267" spans="1:4">
      <c r="A267" s="5"/>
      <c r="B267" s="3" t="s">
        <v>37</v>
      </c>
      <c r="C267" s="3" t="s">
        <v>38</v>
      </c>
      <c r="D267" s="10" t="s">
        <v>40</v>
      </c>
    </row>
    <row r="268" spans="1:4">
      <c r="A268" s="5" t="str">
        <f>'Validation List'!S6</f>
        <v>Happy</v>
      </c>
      <c r="B268" s="3">
        <f>COUNTIFS(Table2[How comfortable is your centre? ],Condition_1,Table2[The arrangements for visitors?],A268)</f>
        <v>0</v>
      </c>
      <c r="C268" s="3" t="e">
        <f t="shared" ref="C268:C277" si="31">B268/No_who_answered_survey*100</f>
        <v>#DIV/0!</v>
      </c>
      <c r="D268" s="10" t="e">
        <f>B268/(No_who_answered_survey-COUNTIFS(Table2[How comfortable is your centre? ],Condition_1,Table2[The arrangements for visitors?],"Not answered"))*100</f>
        <v>#DIV/0!</v>
      </c>
    </row>
    <row r="269" spans="1:4">
      <c r="A269" s="5" t="str">
        <f>'Validation List'!S7</f>
        <v>Neutral</v>
      </c>
      <c r="B269" s="3">
        <f>COUNTIFS(Table2[How comfortable is your centre? ],Condition_1,Table2[The arrangements for visitors?],A269)</f>
        <v>0</v>
      </c>
      <c r="C269" s="3" t="e">
        <f t="shared" si="31"/>
        <v>#DIV/0!</v>
      </c>
      <c r="D269" s="10" t="e">
        <f>B269/(No_who_answered_survey-COUNTIFS(Table2[How comfortable is your centre? ],Condition_1,Table2[The arrangements for visitors?],"Not answered"))*100</f>
        <v>#DIV/0!</v>
      </c>
    </row>
    <row r="270" spans="1:4">
      <c r="A270" s="5" t="str">
        <f>'Validation List'!S8</f>
        <v>Unhappy</v>
      </c>
      <c r="B270" s="3">
        <f>COUNTIFS(Table2[How comfortable is your centre? ],Condition_1,Table2[The arrangements for visitors?],A270)</f>
        <v>0</v>
      </c>
      <c r="C270" s="3" t="e">
        <f t="shared" si="31"/>
        <v>#DIV/0!</v>
      </c>
      <c r="D270" s="10" t="e">
        <f>B270/(No_who_answered_survey-COUNTIFS(Table2[How comfortable is your centre? ],Condition_1,Table2[The arrangements for visitors?],"Not answered"))*100</f>
        <v>#DIV/0!</v>
      </c>
    </row>
    <row r="271" spans="1:4">
      <c r="A271" s="5" t="str">
        <f>'Validation List'!S9</f>
        <v>.</v>
      </c>
      <c r="B271" s="3">
        <f>COUNTIFS(Table2[How comfortable is your centre? ],Condition_1,Table2[The arrangements for visitors?],A271)</f>
        <v>0</v>
      </c>
      <c r="C271" s="3" t="e">
        <f t="shared" si="31"/>
        <v>#DIV/0!</v>
      </c>
      <c r="D271" s="10" t="e">
        <f>B271/(No_who_answered_survey-COUNTIFS(Table2[How comfortable is your centre? ],Condition_1,Table2[The arrangements for visitors?],"Not answered"))*100</f>
        <v>#DIV/0!</v>
      </c>
    </row>
    <row r="272" spans="1:4">
      <c r="A272" s="5" t="str">
        <f>'Validation List'!S10</f>
        <v>.</v>
      </c>
      <c r="B272" s="3">
        <f>COUNTIFS(Table2[How comfortable is your centre? ],Condition_1,Table2[The arrangements for visitors?],A272)</f>
        <v>0</v>
      </c>
      <c r="C272" s="3" t="e">
        <f t="shared" si="31"/>
        <v>#DIV/0!</v>
      </c>
      <c r="D272" s="10" t="e">
        <f>B272/(No_who_answered_survey-COUNTIFS(Table2[How comfortable is your centre? ],Condition_1,Table2[The arrangements for visitors?],"Not answered"))*100</f>
        <v>#DIV/0!</v>
      </c>
    </row>
    <row r="273" spans="1:4">
      <c r="A273" s="5" t="str">
        <f>'Validation List'!S11</f>
        <v>.</v>
      </c>
      <c r="B273" s="3">
        <f>COUNTIFS(Table2[How comfortable is your centre? ],Condition_1,Table2[The arrangements for visitors?],A273)</f>
        <v>0</v>
      </c>
      <c r="C273" s="3" t="e">
        <f t="shared" ref="C273:C276" si="32">B273/No_who_answered_survey*100</f>
        <v>#DIV/0!</v>
      </c>
      <c r="D273" s="10" t="e">
        <f>B273/(No_who_answered_survey-COUNTIFS(Table2[How comfortable is your centre? ],Condition_1,Table2[The arrangements for visitors?],"Not answered"))*100</f>
        <v>#DIV/0!</v>
      </c>
    </row>
    <row r="274" spans="1:4">
      <c r="A274" s="5" t="str">
        <f>'Validation List'!S12</f>
        <v>.</v>
      </c>
      <c r="B274" s="3">
        <f>COUNTIFS(Table2[How comfortable is your centre? ],Condition_1,Table2[The arrangements for visitors?],A274)</f>
        <v>0</v>
      </c>
      <c r="C274" s="3" t="e">
        <f t="shared" si="32"/>
        <v>#DIV/0!</v>
      </c>
      <c r="D274" s="10" t="e">
        <f>B274/(No_who_answered_survey-COUNTIFS(Table2[How comfortable is your centre? ],Condition_1,Table2[The arrangements for visitors?],"Not answered"))*100</f>
        <v>#DIV/0!</v>
      </c>
    </row>
    <row r="275" spans="1:4">
      <c r="A275" s="5" t="str">
        <f>'Validation List'!S13</f>
        <v>.</v>
      </c>
      <c r="B275" s="3">
        <f>COUNTIFS(Table2[How comfortable is your centre? ],Condition_1,Table2[The arrangements for visitors?],A275)</f>
        <v>0</v>
      </c>
      <c r="C275" s="3" t="e">
        <f t="shared" si="32"/>
        <v>#DIV/0!</v>
      </c>
      <c r="D275" s="10" t="e">
        <f>B275/(No_who_answered_survey-COUNTIFS(Table2[How comfortable is your centre? ],Condition_1,Table2[The arrangements for visitors?],"Not answered"))*100</f>
        <v>#DIV/0!</v>
      </c>
    </row>
    <row r="276" spans="1:4">
      <c r="A276" s="5" t="str">
        <f>'Validation List'!S14</f>
        <v>.</v>
      </c>
      <c r="B276" s="3">
        <f>COUNTIFS(Table2[How comfortable is your centre? ],Condition_1,Table2[The arrangements for visitors?],A276)</f>
        <v>0</v>
      </c>
      <c r="C276" s="3" t="e">
        <f t="shared" si="32"/>
        <v>#DIV/0!</v>
      </c>
      <c r="D276" s="10" t="e">
        <f>B276/(No_who_answered_survey-COUNTIFS(Table2[How comfortable is your centre? ],Condition_1,Table2[The arrangements for visitors?],"Not answered"))*100</f>
        <v>#DIV/0!</v>
      </c>
    </row>
    <row r="277" spans="1:4">
      <c r="A277" s="5" t="str">
        <f>'Validation List'!S15</f>
        <v>Not answered</v>
      </c>
      <c r="B277" s="3">
        <f>COUNTIFS(Table2[How comfortable is your centre? ],Condition_1,Table2[The arrangements for visitors?],A277)</f>
        <v>0</v>
      </c>
      <c r="C277" s="3" t="e">
        <f t="shared" si="31"/>
        <v>#DIV/0!</v>
      </c>
      <c r="D277" s="10"/>
    </row>
    <row r="278" spans="1:4">
      <c r="A278" s="5" t="s">
        <v>39</v>
      </c>
      <c r="B278" s="3">
        <f>SUM(B268:B277)</f>
        <v>0</v>
      </c>
      <c r="C278" s="3" t="e">
        <f>SUM(C268:C277)</f>
        <v>#DIV/0!</v>
      </c>
      <c r="D278" s="10" t="e">
        <f>SUM(D268:D277)</f>
        <v>#DIV/0!</v>
      </c>
    </row>
    <row r="281" spans="1:4">
      <c r="A281" s="58" t="str">
        <f>'Validation List'!T3</f>
        <v>The welcome your visitors get from staff?</v>
      </c>
      <c r="B281" s="59"/>
      <c r="C281" s="59"/>
      <c r="D281" s="60"/>
    </row>
    <row r="282" spans="1:4">
      <c r="A282" s="5"/>
      <c r="B282" s="3" t="s">
        <v>37</v>
      </c>
      <c r="C282" s="3" t="s">
        <v>38</v>
      </c>
      <c r="D282" s="10" t="s">
        <v>40</v>
      </c>
    </row>
    <row r="283" spans="1:4">
      <c r="A283" s="5" t="str">
        <f>'Validation List'!T6</f>
        <v>Happy</v>
      </c>
      <c r="B283" s="3">
        <f>COUNTIFS(Table2[How comfortable is your centre? ],Condition_1,Table2[The welcome your visitors get from staff?],A283)</f>
        <v>0</v>
      </c>
      <c r="C283" s="3" t="e">
        <f t="shared" ref="C283:C292" si="33">B283/No_who_answered_survey*100</f>
        <v>#DIV/0!</v>
      </c>
      <c r="D283" s="10" t="e">
        <f>B283/(No_who_answered_survey-COUNTIFS(Table2[How comfortable is your centre? ],Condition_1,Table2[The welcome your visitors get from staff?],"Not answered"))*100</f>
        <v>#DIV/0!</v>
      </c>
    </row>
    <row r="284" spans="1:4">
      <c r="A284" s="5" t="str">
        <f>'Validation List'!T7</f>
        <v>Neutral</v>
      </c>
      <c r="B284" s="3">
        <f>COUNTIFS(Table2[How comfortable is your centre? ],Condition_1,Table2[The welcome your visitors get from staff?],A284)</f>
        <v>0</v>
      </c>
      <c r="C284" s="3" t="e">
        <f t="shared" si="33"/>
        <v>#DIV/0!</v>
      </c>
      <c r="D284" s="10" t="e">
        <f>B284/(No_who_answered_survey-COUNTIFS(Table2[How comfortable is your centre? ],Condition_1,Table2[The welcome your visitors get from staff?],"Not answered"))*100</f>
        <v>#DIV/0!</v>
      </c>
    </row>
    <row r="285" spans="1:4" ht="23.45" customHeight="1">
      <c r="A285" s="5" t="str">
        <f>'Validation List'!T8</f>
        <v>Unhappy</v>
      </c>
      <c r="B285" s="3">
        <f>COUNTIFS(Table2[How comfortable is your centre? ],Condition_1,Table2[The welcome your visitors get from staff?],A285)</f>
        <v>0</v>
      </c>
      <c r="C285" s="3" t="e">
        <f t="shared" si="33"/>
        <v>#DIV/0!</v>
      </c>
      <c r="D285" s="10" t="e">
        <f>B285/(No_who_answered_survey-COUNTIFS(Table2[How comfortable is your centre? ],Condition_1,Table2[The welcome your visitors get from staff?],"Not answered"))*100</f>
        <v>#DIV/0!</v>
      </c>
    </row>
    <row r="286" spans="1:4">
      <c r="A286" s="5" t="str">
        <f>'Validation List'!T9</f>
        <v>.</v>
      </c>
      <c r="B286" s="3">
        <f>COUNTIFS(Table2[How comfortable is your centre? ],Condition_1,Table2[The welcome your visitors get from staff?],A286)</f>
        <v>0</v>
      </c>
      <c r="C286" s="3" t="e">
        <f t="shared" si="33"/>
        <v>#DIV/0!</v>
      </c>
      <c r="D286" s="10" t="e">
        <f>B286/(No_who_answered_survey-COUNTIFS(Table2[How comfortable is your centre? ],Condition_1,Table2[The welcome your visitors get from staff?],"Not answered"))*100</f>
        <v>#DIV/0!</v>
      </c>
    </row>
    <row r="287" spans="1:4">
      <c r="A287" s="5" t="str">
        <f>'Validation List'!T10</f>
        <v>.</v>
      </c>
      <c r="B287" s="3">
        <f>COUNTIFS(Table2[How comfortable is your centre? ],Condition_1,Table2[The welcome your visitors get from staff?],A287)</f>
        <v>0</v>
      </c>
      <c r="C287" s="3" t="e">
        <f t="shared" si="33"/>
        <v>#DIV/0!</v>
      </c>
      <c r="D287" s="10" t="e">
        <f>B287/(No_who_answered_survey-COUNTIFS(Table2[How comfortable is your centre? ],Condition_1,Table2[The welcome your visitors get from staff?],"Not answered"))*100</f>
        <v>#DIV/0!</v>
      </c>
    </row>
    <row r="288" spans="1:4">
      <c r="A288" s="5" t="str">
        <f>'Validation List'!T11</f>
        <v>.</v>
      </c>
      <c r="B288" s="3">
        <f>COUNTIFS(Table2[How comfortable is your centre? ],Condition_1,Table2[The welcome your visitors get from staff?],A288)</f>
        <v>0</v>
      </c>
      <c r="C288" s="3" t="e">
        <f t="shared" ref="C288:C291" si="34">B288/No_who_answered_survey*100</f>
        <v>#DIV/0!</v>
      </c>
      <c r="D288" s="10" t="e">
        <f>B288/(No_who_answered_survey-COUNTIFS(Table2[How comfortable is your centre? ],Condition_1,Table2[The welcome your visitors get from staff?],"Not answered"))*100</f>
        <v>#DIV/0!</v>
      </c>
    </row>
    <row r="289" spans="1:4">
      <c r="A289" s="5" t="str">
        <f>'Validation List'!T12</f>
        <v>.</v>
      </c>
      <c r="B289" s="3">
        <f>COUNTIFS(Table2[How comfortable is your centre? ],Condition_1,Table2[The welcome your visitors get from staff?],A289)</f>
        <v>0</v>
      </c>
      <c r="C289" s="3" t="e">
        <f t="shared" si="34"/>
        <v>#DIV/0!</v>
      </c>
      <c r="D289" s="10" t="e">
        <f>B289/(No_who_answered_survey-COUNTIFS(Table2[How comfortable is your centre? ],Condition_1,Table2[The welcome your visitors get from staff?],"Not answered"))*100</f>
        <v>#DIV/0!</v>
      </c>
    </row>
    <row r="290" spans="1:4">
      <c r="A290" s="5" t="str">
        <f>'Validation List'!T13</f>
        <v>.</v>
      </c>
      <c r="B290" s="3">
        <f>COUNTIFS(Table2[How comfortable is your centre? ],Condition_1,Table2[The welcome your visitors get from staff?],A290)</f>
        <v>0</v>
      </c>
      <c r="C290" s="3" t="e">
        <f t="shared" si="34"/>
        <v>#DIV/0!</v>
      </c>
      <c r="D290" s="10" t="e">
        <f>B290/(No_who_answered_survey-COUNTIFS(Table2[How comfortable is your centre? ],Condition_1,Table2[The welcome your visitors get from staff?],"Not answered"))*100</f>
        <v>#DIV/0!</v>
      </c>
    </row>
    <row r="291" spans="1:4">
      <c r="A291" s="5" t="str">
        <f>'Validation List'!T14</f>
        <v>.</v>
      </c>
      <c r="B291" s="3">
        <f>COUNTIFS(Table2[How comfortable is your centre? ],Condition_1,Table2[The welcome your visitors get from staff?],A291)</f>
        <v>0</v>
      </c>
      <c r="C291" s="3" t="e">
        <f t="shared" si="34"/>
        <v>#DIV/0!</v>
      </c>
      <c r="D291" s="10" t="e">
        <f>B291/(No_who_answered_survey-COUNTIFS(Table2[How comfortable is your centre? ],Condition_1,Table2[The welcome your visitors get from staff?],"Not answered"))*100</f>
        <v>#DIV/0!</v>
      </c>
    </row>
    <row r="292" spans="1:4">
      <c r="A292" s="5" t="str">
        <f>'Validation List'!T15</f>
        <v>Not answered</v>
      </c>
      <c r="B292" s="3">
        <f>COUNTIFS(Table2[How comfortable is your centre? ],Condition_1,Table2[The welcome your visitors get from staff?],A292)</f>
        <v>0</v>
      </c>
      <c r="C292" s="3" t="e">
        <f t="shared" si="33"/>
        <v>#DIV/0!</v>
      </c>
      <c r="D292" s="10"/>
    </row>
    <row r="293" spans="1:4">
      <c r="A293" s="5" t="s">
        <v>39</v>
      </c>
      <c r="B293" s="3">
        <f>SUM(B283:B292)</f>
        <v>0</v>
      </c>
      <c r="C293" s="3" t="e">
        <f>SUM(C283:C292)</f>
        <v>#DIV/0!</v>
      </c>
      <c r="D293" s="10" t="e">
        <f>SUM(D283:D292)</f>
        <v>#DIV/0!</v>
      </c>
    </row>
    <row r="296" spans="1:4" ht="27" customHeight="1">
      <c r="A296" s="58" t="str">
        <f>'Validation List'!U3</f>
        <v>What time to get up?</v>
      </c>
      <c r="B296" s="59"/>
      <c r="C296" s="59"/>
      <c r="D296" s="60"/>
    </row>
    <row r="297" spans="1:4">
      <c r="A297" s="5"/>
      <c r="B297" s="3" t="s">
        <v>37</v>
      </c>
      <c r="C297" s="3" t="s">
        <v>38</v>
      </c>
      <c r="D297" s="10" t="s">
        <v>40</v>
      </c>
    </row>
    <row r="298" spans="1:4">
      <c r="A298" s="5" t="str">
        <f>'Validation List'!U6</f>
        <v>Happy</v>
      </c>
      <c r="B298" s="3">
        <f>COUNTIFS(Table2[How comfortable is your centre? ],Condition_1,Table2[What time to get up?],A298)</f>
        <v>0</v>
      </c>
      <c r="C298" s="3" t="e">
        <f t="shared" ref="C298:C307" si="35">B298/No_who_answered_survey*100</f>
        <v>#DIV/0!</v>
      </c>
      <c r="D298" s="10" t="e">
        <f>B298/(No_who_answered_survey-COUNTIFS(Table2[How comfortable is your centre? ],Condition_1,Table2[What time to get up?],"Not answered"))*100</f>
        <v>#DIV/0!</v>
      </c>
    </row>
    <row r="299" spans="1:4">
      <c r="A299" s="5" t="str">
        <f>'Validation List'!U7</f>
        <v>Neutral</v>
      </c>
      <c r="B299" s="3">
        <f>COUNTIFS(Table2[How comfortable is your centre? ],Condition_1,Table2[What time to get up?],A299)</f>
        <v>0</v>
      </c>
      <c r="C299" s="3" t="e">
        <f t="shared" si="35"/>
        <v>#DIV/0!</v>
      </c>
      <c r="D299" s="10" t="e">
        <f>B299/(No_who_answered_survey-COUNTIFS(Table2[How comfortable is your centre? ],Condition_1,Table2[What time to get up?],"Not answered"))*100</f>
        <v>#DIV/0!</v>
      </c>
    </row>
    <row r="300" spans="1:4">
      <c r="A300" s="5" t="str">
        <f>'Validation List'!U8</f>
        <v>Unhappy</v>
      </c>
      <c r="B300" s="3">
        <f>COUNTIFS(Table2[How comfortable is your centre? ],Condition_1,Table2[What time to get up?],A300)</f>
        <v>0</v>
      </c>
      <c r="C300" s="3" t="e">
        <f t="shared" si="35"/>
        <v>#DIV/0!</v>
      </c>
      <c r="D300" s="10" t="e">
        <f>B300/(No_who_answered_survey-COUNTIFS(Table2[How comfortable is your centre? ],Condition_1,Table2[What time to get up?],"Not answered"))*100</f>
        <v>#DIV/0!</v>
      </c>
    </row>
    <row r="301" spans="1:4">
      <c r="A301" s="5" t="str">
        <f>'Validation List'!U9</f>
        <v>.</v>
      </c>
      <c r="B301" s="3">
        <f>COUNTIFS(Table2[How comfortable is your centre? ],Condition_1,Table2[What time to get up?],A301)</f>
        <v>0</v>
      </c>
      <c r="C301" s="3" t="e">
        <f t="shared" si="35"/>
        <v>#DIV/0!</v>
      </c>
      <c r="D301" s="10" t="e">
        <f>B301/(No_who_answered_survey-COUNTIFS(Table2[How comfortable is your centre? ],Condition_1,Table2[What time to get up?],"Not answered"))*100</f>
        <v>#DIV/0!</v>
      </c>
    </row>
    <row r="302" spans="1:4">
      <c r="A302" s="5" t="str">
        <f>'Validation List'!U10</f>
        <v>.</v>
      </c>
      <c r="B302" s="3">
        <f>COUNTIFS(Table2[How comfortable is your centre? ],Condition_1,Table2[What time to get up?],A302)</f>
        <v>0</v>
      </c>
      <c r="C302" s="3" t="e">
        <f t="shared" si="35"/>
        <v>#DIV/0!</v>
      </c>
      <c r="D302" s="10" t="e">
        <f>B302/(No_who_answered_survey-COUNTIFS(Table2[How comfortable is your centre? ],Condition_1,Table2[What time to get up?],"Not answered"))*100</f>
        <v>#DIV/0!</v>
      </c>
    </row>
    <row r="303" spans="1:4">
      <c r="A303" s="5" t="str">
        <f>'Validation List'!U11</f>
        <v>.</v>
      </c>
      <c r="B303" s="3">
        <f>COUNTIFS(Table2[How comfortable is your centre? ],Condition_1,Table2[What time to get up?],A303)</f>
        <v>0</v>
      </c>
      <c r="C303" s="3" t="e">
        <f t="shared" ref="C303:C306" si="36">B303/No_who_answered_survey*100</f>
        <v>#DIV/0!</v>
      </c>
      <c r="D303" s="10" t="e">
        <f>B303/(No_who_answered_survey-COUNTIFS(Table2[How comfortable is your centre? ],Condition_1,Table2[What time to get up?],"Not answered"))*100</f>
        <v>#DIV/0!</v>
      </c>
    </row>
    <row r="304" spans="1:4">
      <c r="A304" s="5" t="str">
        <f>'Validation List'!U12</f>
        <v>.</v>
      </c>
      <c r="B304" s="3">
        <f>COUNTIFS(Table2[How comfortable is your centre? ],Condition_1,Table2[What time to get up?],A304)</f>
        <v>0</v>
      </c>
      <c r="C304" s="3" t="e">
        <f t="shared" si="36"/>
        <v>#DIV/0!</v>
      </c>
      <c r="D304" s="10" t="e">
        <f>B304/(No_who_answered_survey-COUNTIFS(Table2[How comfortable is your centre? ],Condition_1,Table2[What time to get up?],"Not answered"))*100</f>
        <v>#DIV/0!</v>
      </c>
    </row>
    <row r="305" spans="1:4">
      <c r="A305" s="5" t="str">
        <f>'Validation List'!U13</f>
        <v>.</v>
      </c>
      <c r="B305" s="3">
        <f>COUNTIFS(Table2[How comfortable is your centre? ],Condition_1,Table2[What time to get up?],A305)</f>
        <v>0</v>
      </c>
      <c r="C305" s="3" t="e">
        <f t="shared" si="36"/>
        <v>#DIV/0!</v>
      </c>
      <c r="D305" s="10" t="e">
        <f>B305/(No_who_answered_survey-COUNTIFS(Table2[How comfortable is your centre? ],Condition_1,Table2[What time to get up?],"Not answered"))*100</f>
        <v>#DIV/0!</v>
      </c>
    </row>
    <row r="306" spans="1:4">
      <c r="A306" s="5" t="str">
        <f>'Validation List'!U14</f>
        <v>.</v>
      </c>
      <c r="B306" s="3">
        <f>COUNTIFS(Table2[How comfortable is your centre? ],Condition_1,Table2[What time to get up?],A306)</f>
        <v>0</v>
      </c>
      <c r="C306" s="3" t="e">
        <f t="shared" si="36"/>
        <v>#DIV/0!</v>
      </c>
      <c r="D306" s="10" t="e">
        <f>B306/(No_who_answered_survey-COUNTIFS(Table2[How comfortable is your centre? ],Condition_1,Table2[What time to get up?],"Not answered"))*100</f>
        <v>#DIV/0!</v>
      </c>
    </row>
    <row r="307" spans="1:4">
      <c r="A307" s="5" t="str">
        <f>'Validation List'!U15</f>
        <v>Not answered</v>
      </c>
      <c r="B307" s="3">
        <f>COUNTIFS(Table2[How comfortable is your centre? ],Condition_1,Table2[What time to get up?],A307)</f>
        <v>0</v>
      </c>
      <c r="C307" s="3" t="e">
        <f t="shared" si="35"/>
        <v>#DIV/0!</v>
      </c>
      <c r="D307" s="10"/>
    </row>
    <row r="308" spans="1:4">
      <c r="A308" s="5" t="s">
        <v>39</v>
      </c>
      <c r="B308" s="3">
        <f>SUM(B298:B307)</f>
        <v>0</v>
      </c>
      <c r="C308" s="3" t="e">
        <f>SUM(C298:C307)</f>
        <v>#DIV/0!</v>
      </c>
      <c r="D308" s="10" t="e">
        <f>SUM(D298:D307)</f>
        <v>#DIV/0!</v>
      </c>
    </row>
    <row r="311" spans="1:4">
      <c r="A311" s="58" t="str">
        <f>'Validation List'!V3</f>
        <v>When you go to bed?</v>
      </c>
      <c r="B311" s="59"/>
      <c r="C311" s="59"/>
      <c r="D311" s="60"/>
    </row>
    <row r="312" spans="1:4">
      <c r="A312" s="5"/>
      <c r="B312" s="3" t="s">
        <v>37</v>
      </c>
      <c r="C312" s="3" t="s">
        <v>38</v>
      </c>
      <c r="D312" s="10" t="s">
        <v>40</v>
      </c>
    </row>
    <row r="313" spans="1:4">
      <c r="A313" s="5" t="str">
        <f>'Validation List'!V6</f>
        <v>Happy</v>
      </c>
      <c r="B313" s="3">
        <f>COUNTIFS(Table2[How comfortable is your centre? ],Condition_1,Table2[When you go to bed?],A313)</f>
        <v>0</v>
      </c>
      <c r="C313" s="3" t="e">
        <f t="shared" ref="C313:C322" si="37">B313/No_who_answered_survey*100</f>
        <v>#DIV/0!</v>
      </c>
      <c r="D313" s="10" t="e">
        <f>B313/(No_who_answered_survey-COUNTIFS(Table2[How comfortable is your centre? ],Condition_1,Table2[When you go to bed?],"Not answered"))*100</f>
        <v>#DIV/0!</v>
      </c>
    </row>
    <row r="314" spans="1:4">
      <c r="A314" s="5" t="str">
        <f>'Validation List'!V7</f>
        <v>Neutral</v>
      </c>
      <c r="B314" s="3">
        <f>COUNTIFS(Table2[How comfortable is your centre? ],Condition_1,Table2[When you go to bed?],A314)</f>
        <v>0</v>
      </c>
      <c r="C314" s="3" t="e">
        <f t="shared" si="37"/>
        <v>#DIV/0!</v>
      </c>
      <c r="D314" s="10" t="e">
        <f>B314/(No_who_answered_survey-COUNTIFS(Table2[How comfortable is your centre? ],Condition_1,Table2[When you go to bed?],"Not answered"))*100</f>
        <v>#DIV/0!</v>
      </c>
    </row>
    <row r="315" spans="1:4">
      <c r="A315" s="5" t="str">
        <f>'Validation List'!V8</f>
        <v>Unhappy</v>
      </c>
      <c r="B315" s="3">
        <f>COUNTIFS(Table2[How comfortable is your centre? ],Condition_1,Table2[When you go to bed?],A315)</f>
        <v>0</v>
      </c>
      <c r="C315" s="3" t="e">
        <f t="shared" si="37"/>
        <v>#DIV/0!</v>
      </c>
      <c r="D315" s="10" t="e">
        <f>B315/(No_who_answered_survey-COUNTIFS(Table2[How comfortable is your centre? ],Condition_1,Table2[When you go to bed?],"Not answered"))*100</f>
        <v>#DIV/0!</v>
      </c>
    </row>
    <row r="316" spans="1:4">
      <c r="A316" s="5" t="str">
        <f>'Validation List'!V9</f>
        <v>.</v>
      </c>
      <c r="B316" s="3">
        <f>COUNTIFS(Table2[How comfortable is your centre? ],Condition_1,Table2[When you go to bed?],A316)</f>
        <v>0</v>
      </c>
      <c r="C316" s="3" t="e">
        <f t="shared" si="37"/>
        <v>#DIV/0!</v>
      </c>
      <c r="D316" s="10" t="e">
        <f>B316/(No_who_answered_survey-COUNTIFS(Table2[How comfortable is your centre? ],Condition_1,Table2[When you go to bed?],"Not answered"))*100</f>
        <v>#DIV/0!</v>
      </c>
    </row>
    <row r="317" spans="1:4">
      <c r="A317" s="5" t="str">
        <f>'Validation List'!V10</f>
        <v>.</v>
      </c>
      <c r="B317" s="3">
        <f>COUNTIFS(Table2[How comfortable is your centre? ],Condition_1,Table2[When you go to bed?],A317)</f>
        <v>0</v>
      </c>
      <c r="C317" s="3" t="e">
        <f t="shared" si="37"/>
        <v>#DIV/0!</v>
      </c>
      <c r="D317" s="10" t="e">
        <f>B317/(No_who_answered_survey-COUNTIFS(Table2[How comfortable is your centre? ],Condition_1,Table2[When you go to bed?],"Not answered"))*100</f>
        <v>#DIV/0!</v>
      </c>
    </row>
    <row r="318" spans="1:4">
      <c r="A318" s="5" t="str">
        <f>'Validation List'!V11</f>
        <v>.</v>
      </c>
      <c r="B318" s="3">
        <f>COUNTIFS(Table2[How comfortable is your centre? ],Condition_1,Table2[When you go to bed?],A318)</f>
        <v>0</v>
      </c>
      <c r="C318" s="3" t="e">
        <f t="shared" ref="C318:C321" si="38">B318/No_who_answered_survey*100</f>
        <v>#DIV/0!</v>
      </c>
      <c r="D318" s="10" t="e">
        <f>B318/(No_who_answered_survey-COUNTIFS(Table2[How comfortable is your centre? ],Condition_1,Table2[When you go to bed?],"Not answered"))*100</f>
        <v>#DIV/0!</v>
      </c>
    </row>
    <row r="319" spans="1:4">
      <c r="A319" s="5" t="str">
        <f>'Validation List'!V12</f>
        <v>.</v>
      </c>
      <c r="B319" s="3">
        <f>COUNTIFS(Table2[How comfortable is your centre? ],Condition_1,Table2[When you go to bed?],A319)</f>
        <v>0</v>
      </c>
      <c r="C319" s="3" t="e">
        <f t="shared" si="38"/>
        <v>#DIV/0!</v>
      </c>
      <c r="D319" s="10" t="e">
        <f>B319/(No_who_answered_survey-COUNTIFS(Table2[How comfortable is your centre? ],Condition_1,Table2[When you go to bed?],"Not answered"))*100</f>
        <v>#DIV/0!</v>
      </c>
    </row>
    <row r="320" spans="1:4">
      <c r="A320" s="5" t="str">
        <f>'Validation List'!V13</f>
        <v>.</v>
      </c>
      <c r="B320" s="3">
        <f>COUNTIFS(Table2[How comfortable is your centre? ],Condition_1,Table2[When you go to bed?],A320)</f>
        <v>0</v>
      </c>
      <c r="C320" s="3" t="e">
        <f t="shared" si="38"/>
        <v>#DIV/0!</v>
      </c>
      <c r="D320" s="10" t="e">
        <f>B320/(No_who_answered_survey-COUNTIFS(Table2[How comfortable is your centre? ],Condition_1,Table2[When you go to bed?],"Not answered"))*100</f>
        <v>#DIV/0!</v>
      </c>
    </row>
    <row r="321" spans="1:4">
      <c r="A321" s="5" t="str">
        <f>'Validation List'!V14</f>
        <v>.</v>
      </c>
      <c r="B321" s="3">
        <f>COUNTIFS(Table2[How comfortable is your centre? ],Condition_1,Table2[When you go to bed?],A321)</f>
        <v>0</v>
      </c>
      <c r="C321" s="3" t="e">
        <f t="shared" si="38"/>
        <v>#DIV/0!</v>
      </c>
      <c r="D321" s="10" t="e">
        <f>B321/(No_who_answered_survey-COUNTIFS(Table2[How comfortable is your centre? ],Condition_1,Table2[When you go to bed?],"Not answered"))*100</f>
        <v>#DIV/0!</v>
      </c>
    </row>
    <row r="322" spans="1:4">
      <c r="A322" s="5" t="str">
        <f>'Validation List'!V15</f>
        <v>Not answered</v>
      </c>
      <c r="B322" s="3">
        <f>COUNTIFS(Table2[How comfortable is your centre? ],Condition_1,Table2[When you go to bed?],A322)</f>
        <v>0</v>
      </c>
      <c r="C322" s="3" t="e">
        <f t="shared" si="37"/>
        <v>#DIV/0!</v>
      </c>
      <c r="D322" s="10"/>
    </row>
    <row r="323" spans="1:4">
      <c r="A323" s="5" t="s">
        <v>39</v>
      </c>
      <c r="B323" s="3">
        <f>SUM(B313:B322)</f>
        <v>0</v>
      </c>
      <c r="C323" s="3" t="e">
        <f>SUM(C313:C322)</f>
        <v>#DIV/0!</v>
      </c>
      <c r="D323" s="10" t="e">
        <f>SUM(D313:D322)</f>
        <v>#DIV/0!</v>
      </c>
    </row>
    <row r="326" spans="1:4">
      <c r="A326" s="61" t="str">
        <f>'Validation List'!W3</f>
        <v>What you eat?</v>
      </c>
      <c r="B326" s="61"/>
      <c r="C326" s="61"/>
      <c r="D326" s="62"/>
    </row>
    <row r="327" spans="1:4">
      <c r="A327" s="5"/>
      <c r="B327" s="3" t="s">
        <v>37</v>
      </c>
      <c r="C327" s="3" t="s">
        <v>38</v>
      </c>
      <c r="D327" s="10" t="s">
        <v>40</v>
      </c>
    </row>
    <row r="328" spans="1:4">
      <c r="A328" s="5" t="str">
        <f>'Validation List'!W6</f>
        <v>Happy</v>
      </c>
      <c r="B328" s="3">
        <f>COUNTIFS(Table2[How comfortable is your centre? ],Condition_1,Table2[What you eat?],A328)</f>
        <v>0</v>
      </c>
      <c r="C328" s="3" t="e">
        <f t="shared" ref="C328:C337" si="39">B328/No_who_answered_survey*100</f>
        <v>#DIV/0!</v>
      </c>
      <c r="D328" s="10" t="e">
        <f>B328/(No_who_answered_survey-COUNTIFS(Table2[How comfortable is your centre? ],Condition_1,Table2[What you eat?],"Not answered"))*100</f>
        <v>#DIV/0!</v>
      </c>
    </row>
    <row r="329" spans="1:4">
      <c r="A329" s="5" t="str">
        <f>'Validation List'!W7</f>
        <v>Neutral</v>
      </c>
      <c r="B329" s="3">
        <f>COUNTIFS(Table2[How comfortable is your centre? ],Condition_1,Table2[What you eat?],A329)</f>
        <v>0</v>
      </c>
      <c r="C329" s="3" t="e">
        <f t="shared" si="39"/>
        <v>#DIV/0!</v>
      </c>
      <c r="D329" s="10" t="e">
        <f>B329/(No_who_answered_survey-COUNTIFS(Table2[How comfortable is your centre? ],Condition_1,Table2[What you eat?],"Not answered"))*100</f>
        <v>#DIV/0!</v>
      </c>
    </row>
    <row r="330" spans="1:4">
      <c r="A330" s="5" t="str">
        <f>'Validation List'!W8</f>
        <v>Unhappy</v>
      </c>
      <c r="B330" s="3">
        <f>COUNTIFS(Table2[How comfortable is your centre? ],Condition_1,Table2[What you eat?],A330)</f>
        <v>0</v>
      </c>
      <c r="C330" s="3" t="e">
        <f t="shared" si="39"/>
        <v>#DIV/0!</v>
      </c>
      <c r="D330" s="10" t="e">
        <f>B330/(No_who_answered_survey-COUNTIFS(Table2[How comfortable is your centre? ],Condition_1,Table2[What you eat?],"Not answered"))*100</f>
        <v>#DIV/0!</v>
      </c>
    </row>
    <row r="331" spans="1:4">
      <c r="A331" s="5" t="str">
        <f>'Validation List'!W9</f>
        <v>.</v>
      </c>
      <c r="B331" s="3">
        <f>COUNTIFS(Table2[How comfortable is your centre? ],Condition_1,Table2[What you eat?],A331)</f>
        <v>0</v>
      </c>
      <c r="C331" s="3" t="e">
        <f t="shared" si="39"/>
        <v>#DIV/0!</v>
      </c>
      <c r="D331" s="10" t="e">
        <f>B331/(No_who_answered_survey-COUNTIFS(Table2[How comfortable is your centre? ],Condition_1,Table2[What you eat?],"Not answered"))*100</f>
        <v>#DIV/0!</v>
      </c>
    </row>
    <row r="332" spans="1:4">
      <c r="A332" s="5" t="str">
        <f>'Validation List'!W10</f>
        <v>.</v>
      </c>
      <c r="B332" s="3">
        <f>COUNTIFS(Table2[How comfortable is your centre? ],Condition_1,Table2[What you eat?],A332)</f>
        <v>0</v>
      </c>
      <c r="C332" s="3" t="e">
        <f t="shared" si="39"/>
        <v>#DIV/0!</v>
      </c>
      <c r="D332" s="10" t="e">
        <f>B332/(No_who_answered_survey-COUNTIFS(Table2[How comfortable is your centre? ],Condition_1,Table2[What you eat?],"Not answered"))*100</f>
        <v>#DIV/0!</v>
      </c>
    </row>
    <row r="333" spans="1:4">
      <c r="A333" s="5" t="str">
        <f>'Validation List'!W11</f>
        <v>.</v>
      </c>
      <c r="B333" s="3">
        <f>COUNTIFS(Table2[How comfortable is your centre? ],Condition_1,Table2[What you eat?],A333)</f>
        <v>0</v>
      </c>
      <c r="C333" s="3" t="e">
        <f t="shared" ref="C333:C336" si="40">B333/No_who_answered_survey*100</f>
        <v>#DIV/0!</v>
      </c>
      <c r="D333" s="10" t="e">
        <f>B333/(No_who_answered_survey-COUNTIFS(Table2[How comfortable is your centre? ],Condition_1,Table2[What you eat?],"Not answered"))*100</f>
        <v>#DIV/0!</v>
      </c>
    </row>
    <row r="334" spans="1:4">
      <c r="A334" s="5" t="str">
        <f>'Validation List'!W12</f>
        <v>.</v>
      </c>
      <c r="B334" s="3">
        <f>COUNTIFS(Table2[How comfortable is your centre? ],Condition_1,Table2[What you eat?],A334)</f>
        <v>0</v>
      </c>
      <c r="C334" s="3" t="e">
        <f t="shared" si="40"/>
        <v>#DIV/0!</v>
      </c>
      <c r="D334" s="10" t="e">
        <f>B334/(No_who_answered_survey-COUNTIFS(Table2[How comfortable is your centre? ],Condition_1,Table2[What you eat?],"Not answered"))*100</f>
        <v>#DIV/0!</v>
      </c>
    </row>
    <row r="335" spans="1:4">
      <c r="A335" s="5" t="str">
        <f>'Validation List'!W13</f>
        <v>.</v>
      </c>
      <c r="B335" s="3">
        <f>COUNTIFS(Table2[How comfortable is your centre? ],Condition_1,Table2[What you eat?],A335)</f>
        <v>0</v>
      </c>
      <c r="C335" s="3" t="e">
        <f t="shared" si="40"/>
        <v>#DIV/0!</v>
      </c>
      <c r="D335" s="10" t="e">
        <f>B335/(No_who_answered_survey-COUNTIFS(Table2[How comfortable is your centre? ],Condition_1,Table2[What you eat?],"Not answered"))*100</f>
        <v>#DIV/0!</v>
      </c>
    </row>
    <row r="336" spans="1:4">
      <c r="A336" s="5" t="str">
        <f>'Validation List'!W14</f>
        <v>.</v>
      </c>
      <c r="B336" s="3">
        <f>COUNTIFS(Table2[How comfortable is your centre? ],Condition_1,Table2[What you eat?],A336)</f>
        <v>0</v>
      </c>
      <c r="C336" s="3" t="e">
        <f t="shared" si="40"/>
        <v>#DIV/0!</v>
      </c>
      <c r="D336" s="10" t="e">
        <f>B336/(No_who_answered_survey-COUNTIFS(Table2[How comfortable is your centre? ],Condition_1,Table2[What you eat?],"Not answered"))*100</f>
        <v>#DIV/0!</v>
      </c>
    </row>
    <row r="337" spans="1:4">
      <c r="A337" s="5" t="str">
        <f>'Validation List'!W15</f>
        <v>Not answered</v>
      </c>
      <c r="B337" s="3">
        <f>COUNTIFS(Table2[How comfortable is your centre? ],Condition_1,Table2[What you eat?],A337)</f>
        <v>0</v>
      </c>
      <c r="C337" s="3" t="e">
        <f t="shared" si="39"/>
        <v>#DIV/0!</v>
      </c>
      <c r="D337" s="10"/>
    </row>
    <row r="338" spans="1:4">
      <c r="A338" s="5" t="s">
        <v>39</v>
      </c>
      <c r="B338" s="3">
        <f>SUM(B328:B337)</f>
        <v>0</v>
      </c>
      <c r="C338" s="3" t="e">
        <f>SUM(C328:C337)</f>
        <v>#DIV/0!</v>
      </c>
      <c r="D338" s="10" t="e">
        <f>SUM(D328:D337)</f>
        <v>#DIV/0!</v>
      </c>
    </row>
    <row r="341" spans="1:4">
      <c r="A341" s="61" t="str">
        <f>'Validation List'!X3</f>
        <v>What you wear?</v>
      </c>
      <c r="B341" s="61"/>
      <c r="C341" s="61"/>
      <c r="D341" s="62"/>
    </row>
    <row r="342" spans="1:4">
      <c r="A342" s="5"/>
      <c r="B342" s="3" t="s">
        <v>37</v>
      </c>
      <c r="C342" s="3" t="s">
        <v>38</v>
      </c>
      <c r="D342" s="10" t="s">
        <v>40</v>
      </c>
    </row>
    <row r="343" spans="1:4">
      <c r="A343" s="5" t="str">
        <f>'Validation List'!X6</f>
        <v>Happy</v>
      </c>
      <c r="B343" s="3">
        <f>COUNTIFS(Table2[How comfortable is your centre? ],Condition_1,Table2[What you wear?],A343)</f>
        <v>0</v>
      </c>
      <c r="C343" s="3" t="e">
        <f t="shared" ref="C343:C352" si="41">B343/No_who_answered_survey*100</f>
        <v>#DIV/0!</v>
      </c>
      <c r="D343" s="10" t="e">
        <f>B343/(No_who_answered_survey-COUNTIFS(Table2[How comfortable is your centre? ],Condition_1,Table2[What you wear?],"Not answered"))*100</f>
        <v>#DIV/0!</v>
      </c>
    </row>
    <row r="344" spans="1:4">
      <c r="A344" s="5" t="str">
        <f>'Validation List'!X7</f>
        <v>Neutral</v>
      </c>
      <c r="B344" s="3">
        <f>COUNTIFS(Table2[How comfortable is your centre? ],Condition_1,Table2[What you wear?],A344)</f>
        <v>0</v>
      </c>
      <c r="C344" s="3" t="e">
        <f t="shared" si="41"/>
        <v>#DIV/0!</v>
      </c>
      <c r="D344" s="10" t="e">
        <f>B344/(No_who_answered_survey-COUNTIFS(Table2[How comfortable is your centre? ],Condition_1,Table2[What you wear?],"Not answered"))*100</f>
        <v>#DIV/0!</v>
      </c>
    </row>
    <row r="345" spans="1:4">
      <c r="A345" s="5" t="str">
        <f>'Validation List'!X8</f>
        <v>Unhappy</v>
      </c>
      <c r="B345" s="3">
        <f>COUNTIFS(Table2[How comfortable is your centre? ],Condition_1,Table2[What you wear?],A345)</f>
        <v>0</v>
      </c>
      <c r="C345" s="3" t="e">
        <f t="shared" si="41"/>
        <v>#DIV/0!</v>
      </c>
      <c r="D345" s="10" t="e">
        <f>B345/(No_who_answered_survey-COUNTIFS(Table2[How comfortable is your centre? ],Condition_1,Table2[What you wear?],"Not answered"))*100</f>
        <v>#DIV/0!</v>
      </c>
    </row>
    <row r="346" spans="1:4">
      <c r="A346" s="5" t="str">
        <f>'Validation List'!X9</f>
        <v>.</v>
      </c>
      <c r="B346" s="3">
        <f>COUNTIFS(Table2[How comfortable is your centre? ],Condition_1,Table2[What you wear?],A346)</f>
        <v>0</v>
      </c>
      <c r="C346" s="3" t="e">
        <f t="shared" si="41"/>
        <v>#DIV/0!</v>
      </c>
      <c r="D346" s="10" t="e">
        <f>B346/(No_who_answered_survey-COUNTIFS(Table2[How comfortable is your centre? ],Condition_1,Table2[What you wear?],"Not answered"))*100</f>
        <v>#DIV/0!</v>
      </c>
    </row>
    <row r="347" spans="1:4">
      <c r="A347" s="5" t="str">
        <f>'Validation List'!X10</f>
        <v>.</v>
      </c>
      <c r="B347" s="3">
        <f>COUNTIFS(Table2[How comfortable is your centre? ],Condition_1,Table2[What you wear?],A347)</f>
        <v>0</v>
      </c>
      <c r="C347" s="3" t="e">
        <f t="shared" si="41"/>
        <v>#DIV/0!</v>
      </c>
      <c r="D347" s="10" t="e">
        <f>B347/(No_who_answered_survey-COUNTIFS(Table2[How comfortable is your centre? ],Condition_1,Table2[What you wear?],"Not answered"))*100</f>
        <v>#DIV/0!</v>
      </c>
    </row>
    <row r="348" spans="1:4">
      <c r="A348" s="5" t="str">
        <f>'Validation List'!X11</f>
        <v>.</v>
      </c>
      <c r="B348" s="3">
        <f>COUNTIFS(Table2[How comfortable is your centre? ],Condition_1,Table2[What you wear?],A348)</f>
        <v>0</v>
      </c>
      <c r="C348" s="3" t="e">
        <f t="shared" ref="C348:C351" si="42">B348/No_who_answered_survey*100</f>
        <v>#DIV/0!</v>
      </c>
      <c r="D348" s="10" t="e">
        <f>B348/(No_who_answered_survey-COUNTIFS(Table2[How comfortable is your centre? ],Condition_1,Table2[What you wear?],"Not answered"))*100</f>
        <v>#DIV/0!</v>
      </c>
    </row>
    <row r="349" spans="1:4">
      <c r="A349" s="5" t="str">
        <f>'Validation List'!X12</f>
        <v>.</v>
      </c>
      <c r="B349" s="3">
        <f>COUNTIFS(Table2[How comfortable is your centre? ],Condition_1,Table2[What you wear?],A349)</f>
        <v>0</v>
      </c>
      <c r="C349" s="3" t="e">
        <f t="shared" si="42"/>
        <v>#DIV/0!</v>
      </c>
      <c r="D349" s="10" t="e">
        <f>B349/(No_who_answered_survey-COUNTIFS(Table2[How comfortable is your centre? ],Condition_1,Table2[What you wear?],"Not answered"))*100</f>
        <v>#DIV/0!</v>
      </c>
    </row>
    <row r="350" spans="1:4">
      <c r="A350" s="5" t="str">
        <f>'Validation List'!X13</f>
        <v>.</v>
      </c>
      <c r="B350" s="3">
        <f>COUNTIFS(Table2[How comfortable is your centre? ],Condition_1,Table2[What you wear?],A350)</f>
        <v>0</v>
      </c>
      <c r="C350" s="3" t="e">
        <f t="shared" si="42"/>
        <v>#DIV/0!</v>
      </c>
      <c r="D350" s="10" t="e">
        <f>B350/(No_who_answered_survey-COUNTIFS(Table2[How comfortable is your centre? ],Condition_1,Table2[What you wear?],"Not answered"))*100</f>
        <v>#DIV/0!</v>
      </c>
    </row>
    <row r="351" spans="1:4">
      <c r="A351" s="5" t="str">
        <f>'Validation List'!X14</f>
        <v>.</v>
      </c>
      <c r="B351" s="3">
        <f>COUNTIFS(Table2[How comfortable is your centre? ],Condition_1,Table2[What you wear?],A351)</f>
        <v>0</v>
      </c>
      <c r="C351" s="3" t="e">
        <f t="shared" si="42"/>
        <v>#DIV/0!</v>
      </c>
      <c r="D351" s="10" t="e">
        <f>B351/(No_who_answered_survey-COUNTIFS(Table2[How comfortable is your centre? ],Condition_1,Table2[What you wear?],"Not answered"))*100</f>
        <v>#DIV/0!</v>
      </c>
    </row>
    <row r="352" spans="1:4">
      <c r="A352" s="5" t="str">
        <f>'Validation List'!X15</f>
        <v>Not answered</v>
      </c>
      <c r="B352" s="3">
        <f>COUNTIFS(Table2[How comfortable is your centre? ],Condition_1,Table2[What you wear?],A352)</f>
        <v>0</v>
      </c>
      <c r="C352" s="3" t="e">
        <f t="shared" si="41"/>
        <v>#DIV/0!</v>
      </c>
      <c r="D352" s="10"/>
    </row>
    <row r="353" spans="1:4">
      <c r="A353" s="5" t="s">
        <v>39</v>
      </c>
      <c r="B353" s="3">
        <f>SUM(B343:B352)</f>
        <v>0</v>
      </c>
      <c r="C353" s="3" t="e">
        <f>SUM(C343:C352)</f>
        <v>#DIV/0!</v>
      </c>
      <c r="D353" s="10" t="e">
        <f>SUM(D343:D352)</f>
        <v>#DIV/0!</v>
      </c>
    </row>
    <row r="356" spans="1:4">
      <c r="A356" s="61" t="str">
        <f>'Validation List'!Y3</f>
        <v>The activities you take part in?</v>
      </c>
      <c r="B356" s="61"/>
      <c r="C356" s="61"/>
      <c r="D356" s="62"/>
    </row>
    <row r="357" spans="1:4">
      <c r="A357" s="5"/>
      <c r="B357" s="3" t="s">
        <v>37</v>
      </c>
      <c r="C357" s="3" t="s">
        <v>38</v>
      </c>
      <c r="D357" s="10" t="s">
        <v>40</v>
      </c>
    </row>
    <row r="358" spans="1:4">
      <c r="A358" s="5" t="str">
        <f>'Validation List'!Y6</f>
        <v>Happy</v>
      </c>
      <c r="B358" s="3">
        <f>COUNTIFS(Table2[How comfortable is your centre? ],Condition_1,Table2[The activities you take part in?],A358)</f>
        <v>0</v>
      </c>
      <c r="C358" s="3" t="e">
        <f t="shared" ref="C358:C367" si="43">B358/No_who_answered_survey*100</f>
        <v>#DIV/0!</v>
      </c>
      <c r="D358" s="10" t="e">
        <f>B358/(No_who_answered_survey-COUNTIFS(Table2[How comfortable is your centre? ],Condition_1,Table2[The activities you take part in?],"Not answered"))*100</f>
        <v>#DIV/0!</v>
      </c>
    </row>
    <row r="359" spans="1:4">
      <c r="A359" s="5" t="str">
        <f>'Validation List'!Y7</f>
        <v>Neutral</v>
      </c>
      <c r="B359" s="3">
        <f>COUNTIFS(Table2[How comfortable is your centre? ],Condition_1,Table2[The activities you take part in?],A359)</f>
        <v>0</v>
      </c>
      <c r="C359" s="3" t="e">
        <f t="shared" si="43"/>
        <v>#DIV/0!</v>
      </c>
      <c r="D359" s="10" t="e">
        <f>B359/(No_who_answered_survey-COUNTIFS(Table2[How comfortable is your centre? ],Condition_1,Table2[The activities you take part in?],"Not answered"))*100</f>
        <v>#DIV/0!</v>
      </c>
    </row>
    <row r="360" spans="1:4">
      <c r="A360" s="5" t="str">
        <f>'Validation List'!Y8</f>
        <v>Unhappy</v>
      </c>
      <c r="B360" s="3">
        <f>COUNTIFS(Table2[How comfortable is your centre? ],Condition_1,Table2[The activities you take part in?],A360)</f>
        <v>0</v>
      </c>
      <c r="C360" s="3" t="e">
        <f t="shared" si="43"/>
        <v>#DIV/0!</v>
      </c>
      <c r="D360" s="10" t="e">
        <f>B360/(No_who_answered_survey-COUNTIFS(Table2[How comfortable is your centre? ],Condition_1,Table2[The activities you take part in?],"Not answered"))*100</f>
        <v>#DIV/0!</v>
      </c>
    </row>
    <row r="361" spans="1:4">
      <c r="A361" s="5" t="str">
        <f>'Validation List'!Y9</f>
        <v>.</v>
      </c>
      <c r="B361" s="3">
        <f>COUNTIFS(Table2[How comfortable is your centre? ],Condition_1,Table2[The activities you take part in?],A361)</f>
        <v>0</v>
      </c>
      <c r="C361" s="3" t="e">
        <f t="shared" si="43"/>
        <v>#DIV/0!</v>
      </c>
      <c r="D361" s="10" t="e">
        <f>B361/(No_who_answered_survey-COUNTIFS(Table2[How comfortable is your centre? ],Condition_1,Table2[The activities you take part in?],"Not answered"))*100</f>
        <v>#DIV/0!</v>
      </c>
    </row>
    <row r="362" spans="1:4">
      <c r="A362" s="5" t="str">
        <f>'Validation List'!Y10</f>
        <v>.</v>
      </c>
      <c r="B362" s="3">
        <f>COUNTIFS(Table2[How comfortable is your centre? ],Condition_1,Table2[The activities you take part in?],A362)</f>
        <v>0</v>
      </c>
      <c r="C362" s="3" t="e">
        <f t="shared" si="43"/>
        <v>#DIV/0!</v>
      </c>
      <c r="D362" s="10" t="e">
        <f>B362/(No_who_answered_survey-COUNTIFS(Table2[How comfortable is your centre? ],Condition_1,Table2[The activities you take part in?],"Not answered"))*100</f>
        <v>#DIV/0!</v>
      </c>
    </row>
    <row r="363" spans="1:4">
      <c r="A363" s="5" t="str">
        <f>'Validation List'!Y11</f>
        <v>.</v>
      </c>
      <c r="B363" s="3">
        <f>COUNTIFS(Table2[How comfortable is your centre? ],Condition_1,Table2[The activities you take part in?],A363)</f>
        <v>0</v>
      </c>
      <c r="C363" s="3" t="e">
        <f t="shared" ref="C363:C366" si="44">B363/No_who_answered_survey*100</f>
        <v>#DIV/0!</v>
      </c>
      <c r="D363" s="10" t="e">
        <f>B363/(No_who_answered_survey-COUNTIFS(Table2[How comfortable is your centre? ],Condition_1,Table2[The activities you take part in?],"Not answered"))*100</f>
        <v>#DIV/0!</v>
      </c>
    </row>
    <row r="364" spans="1:4">
      <c r="A364" s="5" t="str">
        <f>'Validation List'!Y12</f>
        <v>.</v>
      </c>
      <c r="B364" s="3">
        <f>COUNTIFS(Table2[How comfortable is your centre? ],Condition_1,Table2[The activities you take part in?],A364)</f>
        <v>0</v>
      </c>
      <c r="C364" s="3" t="e">
        <f t="shared" si="44"/>
        <v>#DIV/0!</v>
      </c>
      <c r="D364" s="10" t="e">
        <f>B364/(No_who_answered_survey-COUNTIFS(Table2[How comfortable is your centre? ],Condition_1,Table2[The activities you take part in?],"Not answered"))*100</f>
        <v>#DIV/0!</v>
      </c>
    </row>
    <row r="365" spans="1:4">
      <c r="A365" s="5" t="str">
        <f>'Validation List'!Y13</f>
        <v>.</v>
      </c>
      <c r="B365" s="3">
        <f>COUNTIFS(Table2[How comfortable is your centre? ],Condition_1,Table2[The activities you take part in?],A365)</f>
        <v>0</v>
      </c>
      <c r="C365" s="3" t="e">
        <f t="shared" si="44"/>
        <v>#DIV/0!</v>
      </c>
      <c r="D365" s="10" t="e">
        <f>B365/(No_who_answered_survey-COUNTIFS(Table2[How comfortable is your centre? ],Condition_1,Table2[The activities you take part in?],"Not answered"))*100</f>
        <v>#DIV/0!</v>
      </c>
    </row>
    <row r="366" spans="1:4">
      <c r="A366" s="5" t="str">
        <f>'Validation List'!Y14</f>
        <v>.</v>
      </c>
      <c r="B366" s="3">
        <f>COUNTIFS(Table2[How comfortable is your centre? ],Condition_1,Table2[The activities you take part in?],A366)</f>
        <v>0</v>
      </c>
      <c r="C366" s="3" t="e">
        <f t="shared" si="44"/>
        <v>#DIV/0!</v>
      </c>
      <c r="D366" s="10" t="e">
        <f>B366/(No_who_answered_survey-COUNTIFS(Table2[How comfortable is your centre? ],Condition_1,Table2[The activities you take part in?],"Not answered"))*100</f>
        <v>#DIV/0!</v>
      </c>
    </row>
    <row r="367" spans="1:4">
      <c r="A367" s="5" t="str">
        <f>'Validation List'!Y15</f>
        <v>Not answered</v>
      </c>
      <c r="B367" s="3">
        <f>COUNTIFS(Table2[How comfortable is your centre? ],Condition_1,Table2[The activities you take part in?],A367)</f>
        <v>0</v>
      </c>
      <c r="C367" s="3" t="e">
        <f t="shared" si="43"/>
        <v>#DIV/0!</v>
      </c>
      <c r="D367" s="10"/>
    </row>
    <row r="368" spans="1:4">
      <c r="A368" s="5" t="s">
        <v>39</v>
      </c>
      <c r="B368" s="3">
        <f>SUM(B358:B367)</f>
        <v>0</v>
      </c>
      <c r="C368" s="3" t="e">
        <f>SUM(C358:C367)</f>
        <v>#DIV/0!</v>
      </c>
      <c r="D368" s="10" t="e">
        <f>SUM(D358:D367)</f>
        <v>#DIV/0!</v>
      </c>
    </row>
    <row r="371" spans="1:4">
      <c r="A371" s="61" t="str">
        <f>'Validation List'!Z3</f>
        <v>The care and support you receive?</v>
      </c>
      <c r="B371" s="61"/>
      <c r="C371" s="61"/>
      <c r="D371" s="62"/>
    </row>
    <row r="372" spans="1:4">
      <c r="A372" s="5"/>
      <c r="B372" s="3" t="s">
        <v>37</v>
      </c>
      <c r="C372" s="3" t="s">
        <v>38</v>
      </c>
      <c r="D372" s="10" t="s">
        <v>40</v>
      </c>
    </row>
    <row r="373" spans="1:4">
      <c r="A373" s="5" t="str">
        <f>'Validation List'!Z6</f>
        <v>Happy</v>
      </c>
      <c r="B373" s="3">
        <f>COUNTIFS(Table2[How comfortable is your centre? ],Condition_1,Table2[The care and support you receive?],A373)</f>
        <v>0</v>
      </c>
      <c r="C373" s="3" t="e">
        <f t="shared" ref="C373:C382" si="45">B373/No_who_answered_survey*100</f>
        <v>#DIV/0!</v>
      </c>
      <c r="D373" s="10" t="e">
        <f>B373/(No_who_answered_survey-COUNTIFS(Table2[How comfortable is your centre? ],Condition_1,Table2[The care and support you receive?],"Not answered"))*100</f>
        <v>#DIV/0!</v>
      </c>
    </row>
    <row r="374" spans="1:4">
      <c r="A374" s="5" t="str">
        <f>'Validation List'!Z7</f>
        <v>Neutral</v>
      </c>
      <c r="B374" s="3">
        <f>COUNTIFS(Table2[How comfortable is your centre? ],Condition_1,Table2[The care and support you receive?],A374)</f>
        <v>0</v>
      </c>
      <c r="C374" s="3" t="e">
        <f t="shared" si="45"/>
        <v>#DIV/0!</v>
      </c>
      <c r="D374" s="10" t="e">
        <f>B374/(No_who_answered_survey-COUNTIFS(Table2[How comfortable is your centre? ],Condition_1,Table2[The care and support you receive?],"Not answered"))*100</f>
        <v>#DIV/0!</v>
      </c>
    </row>
    <row r="375" spans="1:4">
      <c r="A375" s="5" t="str">
        <f>'Validation List'!Z8</f>
        <v>Unhappy</v>
      </c>
      <c r="B375" s="3">
        <f>COUNTIFS(Table2[How comfortable is your centre? ],Condition_1,Table2[The care and support you receive?],A375)</f>
        <v>0</v>
      </c>
      <c r="C375" s="3" t="e">
        <f t="shared" si="45"/>
        <v>#DIV/0!</v>
      </c>
      <c r="D375" s="10" t="e">
        <f>B375/(No_who_answered_survey-COUNTIFS(Table2[How comfortable is your centre? ],Condition_1,Table2[The care and support you receive?],"Not answered"))*100</f>
        <v>#DIV/0!</v>
      </c>
    </row>
    <row r="376" spans="1:4">
      <c r="A376" s="5" t="str">
        <f>'Validation List'!Z9</f>
        <v>.</v>
      </c>
      <c r="B376" s="3">
        <f>COUNTIFS(Table2[How comfortable is your centre? ],Condition_1,Table2[The care and support you receive?],A376)</f>
        <v>0</v>
      </c>
      <c r="C376" s="3" t="e">
        <f t="shared" si="45"/>
        <v>#DIV/0!</v>
      </c>
      <c r="D376" s="10" t="e">
        <f>B376/(No_who_answered_survey-COUNTIFS(Table2[How comfortable is your centre? ],Condition_1,Table2[The care and support you receive?],"Not answered"))*100</f>
        <v>#DIV/0!</v>
      </c>
    </row>
    <row r="377" spans="1:4">
      <c r="A377" s="5" t="str">
        <f>'Validation List'!Z10</f>
        <v>.</v>
      </c>
      <c r="B377" s="3">
        <f>COUNTIFS(Table2[How comfortable is your centre? ],Condition_1,Table2[The care and support you receive?],A377)</f>
        <v>0</v>
      </c>
      <c r="C377" s="3" t="e">
        <f t="shared" si="45"/>
        <v>#DIV/0!</v>
      </c>
      <c r="D377" s="10" t="e">
        <f>B377/(No_who_answered_survey-COUNTIFS(Table2[How comfortable is your centre? ],Condition_1,Table2[The care and support you receive?],"Not answered"))*100</f>
        <v>#DIV/0!</v>
      </c>
    </row>
    <row r="378" spans="1:4">
      <c r="A378" s="5" t="str">
        <f>'Validation List'!Z11</f>
        <v>.</v>
      </c>
      <c r="B378" s="3">
        <f>COUNTIFS(Table2[How comfortable is your centre? ],Condition_1,Table2[The care and support you receive?],A378)</f>
        <v>0</v>
      </c>
      <c r="C378" s="3" t="e">
        <f t="shared" ref="C378:C381" si="46">B378/No_who_answered_survey*100</f>
        <v>#DIV/0!</v>
      </c>
      <c r="D378" s="10" t="e">
        <f>B378/(No_who_answered_survey-COUNTIFS(Table2[How comfortable is your centre? ],Condition_1,Table2[The care and support you receive?],"Not answered"))*100</f>
        <v>#DIV/0!</v>
      </c>
    </row>
    <row r="379" spans="1:4">
      <c r="A379" s="5" t="str">
        <f>'Validation List'!Z12</f>
        <v>.</v>
      </c>
      <c r="B379" s="3">
        <f>COUNTIFS(Table2[How comfortable is your centre? ],Condition_1,Table2[The care and support you receive?],A379)</f>
        <v>0</v>
      </c>
      <c r="C379" s="3" t="e">
        <f t="shared" si="46"/>
        <v>#DIV/0!</v>
      </c>
      <c r="D379" s="10" t="e">
        <f>B379/(No_who_answered_survey-COUNTIFS(Table2[How comfortable is your centre? ],Condition_1,Table2[The care and support you receive?],"Not answered"))*100</f>
        <v>#DIV/0!</v>
      </c>
    </row>
    <row r="380" spans="1:4">
      <c r="A380" s="5" t="str">
        <f>'Validation List'!Z13</f>
        <v>.</v>
      </c>
      <c r="B380" s="3">
        <f>COUNTIFS(Table2[How comfortable is your centre? ],Condition_1,Table2[The care and support you receive?],A380)</f>
        <v>0</v>
      </c>
      <c r="C380" s="3" t="e">
        <f t="shared" si="46"/>
        <v>#DIV/0!</v>
      </c>
      <c r="D380" s="10" t="e">
        <f>B380/(No_who_answered_survey-COUNTIFS(Table2[How comfortable is your centre? ],Condition_1,Table2[The care and support you receive?],"Not answered"))*100</f>
        <v>#DIV/0!</v>
      </c>
    </row>
    <row r="381" spans="1:4">
      <c r="A381" s="5" t="str">
        <f>'Validation List'!Z14</f>
        <v>.</v>
      </c>
      <c r="B381" s="3">
        <f>COUNTIFS(Table2[How comfortable is your centre? ],Condition_1,Table2[The care and support you receive?],A381)</f>
        <v>0</v>
      </c>
      <c r="C381" s="3" t="e">
        <f t="shared" si="46"/>
        <v>#DIV/0!</v>
      </c>
      <c r="D381" s="10" t="e">
        <f>B381/(No_who_answered_survey-COUNTIFS(Table2[How comfortable is your centre? ],Condition_1,Table2[The care and support you receive?],"Not answered"))*100</f>
        <v>#DIV/0!</v>
      </c>
    </row>
    <row r="382" spans="1:4">
      <c r="A382" s="5" t="str">
        <f>'Validation List'!Z15</f>
        <v>Not answered</v>
      </c>
      <c r="B382" s="3">
        <f>COUNTIFS(Table2[How comfortable is your centre? ],Condition_1,Table2[The care and support you receive?],A382)</f>
        <v>0</v>
      </c>
      <c r="C382" s="3" t="e">
        <f t="shared" si="45"/>
        <v>#DIV/0!</v>
      </c>
      <c r="D382" s="10"/>
    </row>
    <row r="383" spans="1:4">
      <c r="A383" s="5" t="s">
        <v>39</v>
      </c>
      <c r="B383" s="3">
        <f>SUM(B373:B382)</f>
        <v>0</v>
      </c>
      <c r="C383" s="3" t="e">
        <f>SUM(C373:C382)</f>
        <v>#DIV/0!</v>
      </c>
      <c r="D383" s="10" t="e">
        <f>SUM(D373:D382)</f>
        <v>#DIV/0!</v>
      </c>
    </row>
    <row r="386" spans="1:4" ht="30" customHeight="1">
      <c r="A386" s="58" t="str">
        <f>'Validation List'!AA3</f>
        <v>The amount of privacy you have?</v>
      </c>
      <c r="B386" s="59"/>
      <c r="C386" s="59"/>
      <c r="D386" s="60"/>
    </row>
    <row r="387" spans="1:4">
      <c r="A387" s="5"/>
      <c r="B387" s="3" t="s">
        <v>37</v>
      </c>
      <c r="C387" s="3" t="s">
        <v>38</v>
      </c>
      <c r="D387" s="10" t="s">
        <v>40</v>
      </c>
    </row>
    <row r="388" spans="1:4">
      <c r="A388" s="5" t="str">
        <f>'Validation List'!AA6</f>
        <v>Happy</v>
      </c>
      <c r="B388" s="3">
        <f>COUNTIFS(Table2[How comfortable is your centre? ],Condition_1,Table2[The amount of privacy you have?],A388)</f>
        <v>0</v>
      </c>
      <c r="C388" s="3" t="e">
        <f t="shared" ref="C388:C397" si="47">B388/No_who_answered_survey*100</f>
        <v>#DIV/0!</v>
      </c>
      <c r="D388" s="10" t="e">
        <f>B388/(No_who_answered_survey-COUNTIFS(Table2[How comfortable is your centre? ],Condition_1,Table2[The amount of privacy you have?],"Not answered"))*100</f>
        <v>#DIV/0!</v>
      </c>
    </row>
    <row r="389" spans="1:4">
      <c r="A389" s="5" t="str">
        <f>'Validation List'!AA7</f>
        <v>Neutral</v>
      </c>
      <c r="B389" s="3">
        <f>COUNTIFS(Table2[How comfortable is your centre? ],Condition_1,Table2[The amount of privacy you have?],A389)</f>
        <v>0</v>
      </c>
      <c r="C389" s="3" t="e">
        <f t="shared" si="47"/>
        <v>#DIV/0!</v>
      </c>
      <c r="D389" s="10" t="e">
        <f>B389/(No_who_answered_survey-COUNTIFS(Table2[How comfortable is your centre? ],Condition_1,Table2[The amount of privacy you have?],"Not answered"))*100</f>
        <v>#DIV/0!</v>
      </c>
    </row>
    <row r="390" spans="1:4">
      <c r="A390" s="5" t="str">
        <f>'Validation List'!AA8</f>
        <v>Unhappy</v>
      </c>
      <c r="B390" s="3">
        <f>COUNTIFS(Table2[How comfortable is your centre? ],Condition_1,Table2[The amount of privacy you have?],A390)</f>
        <v>0</v>
      </c>
      <c r="C390" s="3" t="e">
        <f t="shared" si="47"/>
        <v>#DIV/0!</v>
      </c>
      <c r="D390" s="10" t="e">
        <f>B390/(No_who_answered_survey-COUNTIFS(Table2[How comfortable is your centre? ],Condition_1,Table2[The amount of privacy you have?],"Not answered"))*100</f>
        <v>#DIV/0!</v>
      </c>
    </row>
    <row r="391" spans="1:4">
      <c r="A391" s="5" t="str">
        <f>'Validation List'!AA9</f>
        <v>.</v>
      </c>
      <c r="B391" s="3">
        <f>COUNTIFS(Table2[How comfortable is your centre? ],Condition_1,Table2[The amount of privacy you have?],A391)</f>
        <v>0</v>
      </c>
      <c r="C391" s="3" t="e">
        <f t="shared" si="47"/>
        <v>#DIV/0!</v>
      </c>
      <c r="D391" s="10" t="e">
        <f>B391/(No_who_answered_survey-COUNTIFS(Table2[How comfortable is your centre? ],Condition_1,Table2[The amount of privacy you have?],"Not answered"))*100</f>
        <v>#DIV/0!</v>
      </c>
    </row>
    <row r="392" spans="1:4">
      <c r="A392" s="5" t="str">
        <f>'Validation List'!AA10</f>
        <v>.</v>
      </c>
      <c r="B392" s="3">
        <f>COUNTIFS(Table2[How comfortable is your centre? ],Condition_1,Table2[The amount of privacy you have?],A392)</f>
        <v>0</v>
      </c>
      <c r="C392" s="3" t="e">
        <f t="shared" si="47"/>
        <v>#DIV/0!</v>
      </c>
      <c r="D392" s="10" t="e">
        <f>B392/(No_who_answered_survey-COUNTIFS(Table2[How comfortable is your centre? ],Condition_1,Table2[The amount of privacy you have?],"Not answered"))*100</f>
        <v>#DIV/0!</v>
      </c>
    </row>
    <row r="393" spans="1:4">
      <c r="A393" s="5" t="str">
        <f>'Validation List'!AA11</f>
        <v>.</v>
      </c>
      <c r="B393" s="3">
        <f>COUNTIFS(Table2[How comfortable is your centre? ],Condition_1,Table2[The amount of privacy you have?],A393)</f>
        <v>0</v>
      </c>
      <c r="C393" s="3" t="e">
        <f t="shared" ref="C393:C396" si="48">B393/No_who_answered_survey*100</f>
        <v>#DIV/0!</v>
      </c>
      <c r="D393" s="10" t="e">
        <f>B393/(No_who_answered_survey-COUNTIFS(Table2[How comfortable is your centre? ],Condition_1,Table2[The amount of privacy you have?],"Not answered"))*100</f>
        <v>#DIV/0!</v>
      </c>
    </row>
    <row r="394" spans="1:4">
      <c r="A394" s="5" t="str">
        <f>'Validation List'!AA12</f>
        <v>.</v>
      </c>
      <c r="B394" s="3">
        <f>COUNTIFS(Table2[How comfortable is your centre? ],Condition_1,Table2[The amount of privacy you have?],A394)</f>
        <v>0</v>
      </c>
      <c r="C394" s="3" t="e">
        <f t="shared" si="48"/>
        <v>#DIV/0!</v>
      </c>
      <c r="D394" s="10" t="e">
        <f>B394/(No_who_answered_survey-COUNTIFS(Table2[How comfortable is your centre? ],Condition_1,Table2[The amount of privacy you have?],"Not answered"))*100</f>
        <v>#DIV/0!</v>
      </c>
    </row>
    <row r="395" spans="1:4">
      <c r="A395" s="5" t="str">
        <f>'Validation List'!AA13</f>
        <v>.</v>
      </c>
      <c r="B395" s="3">
        <f>COUNTIFS(Table2[How comfortable is your centre? ],Condition_1,Table2[The amount of privacy you have?],A395)</f>
        <v>0</v>
      </c>
      <c r="C395" s="3" t="e">
        <f t="shared" si="48"/>
        <v>#DIV/0!</v>
      </c>
      <c r="D395" s="10" t="e">
        <f>B395/(No_who_answered_survey-COUNTIFS(Table2[How comfortable is your centre? ],Condition_1,Table2[The amount of privacy you have?],"Not answered"))*100</f>
        <v>#DIV/0!</v>
      </c>
    </row>
    <row r="396" spans="1:4">
      <c r="A396" s="5" t="str">
        <f>'Validation List'!AA14</f>
        <v>.</v>
      </c>
      <c r="B396" s="3">
        <f>COUNTIFS(Table2[How comfortable is your centre? ],Condition_1,Table2[The amount of privacy you have?],A396)</f>
        <v>0</v>
      </c>
      <c r="C396" s="3" t="e">
        <f t="shared" si="48"/>
        <v>#DIV/0!</v>
      </c>
      <c r="D396" s="10" t="e">
        <f>B396/(No_who_answered_survey-COUNTIFS(Table2[How comfortable is your centre? ],Condition_1,Table2[The amount of privacy you have?],"Not answered"))*100</f>
        <v>#DIV/0!</v>
      </c>
    </row>
    <row r="397" spans="1:4">
      <c r="A397" s="5" t="str">
        <f>'Validation List'!AA15</f>
        <v>Not answered</v>
      </c>
      <c r="B397" s="3">
        <f>COUNTIFS(Table2[How comfortable is your centre? ],Condition_1,Table2[The amount of privacy you have?],A397)</f>
        <v>0</v>
      </c>
      <c r="C397" s="3" t="e">
        <f t="shared" si="47"/>
        <v>#DIV/0!</v>
      </c>
      <c r="D397" s="10"/>
    </row>
    <row r="398" spans="1:4">
      <c r="A398" s="5" t="s">
        <v>39</v>
      </c>
      <c r="B398" s="3">
        <f>SUM(B388:B397)</f>
        <v>0</v>
      </c>
      <c r="C398" s="3" t="e">
        <f>SUM(C388:C397)</f>
        <v>#DIV/0!</v>
      </c>
      <c r="D398" s="10" t="e">
        <f>SUM(D388:D397)</f>
        <v>#DIV/0!</v>
      </c>
    </row>
    <row r="401" spans="1:4" ht="27" customHeight="1">
      <c r="A401" s="58" t="str">
        <f>'Validation List'!AB3</f>
        <v>How your respect and dignity is protected?</v>
      </c>
      <c r="B401" s="59"/>
      <c r="C401" s="59"/>
      <c r="D401" s="60"/>
    </row>
    <row r="402" spans="1:4">
      <c r="A402" s="5"/>
      <c r="B402" s="3" t="s">
        <v>37</v>
      </c>
      <c r="C402" s="3" t="s">
        <v>38</v>
      </c>
      <c r="D402" s="10" t="s">
        <v>40</v>
      </c>
    </row>
    <row r="403" spans="1:4">
      <c r="A403" s="5" t="str">
        <f>'Validation List'!AB6</f>
        <v>Happy</v>
      </c>
      <c r="B403" s="3">
        <f>COUNTIFS(Table2[How comfortable is your centre? ],Condition_1,Table2[How your respect and dignity is protected?],A403)</f>
        <v>0</v>
      </c>
      <c r="C403" s="3" t="e">
        <f t="shared" ref="C403:C412" si="49">B403/No_who_answered_survey*100</f>
        <v>#DIV/0!</v>
      </c>
      <c r="D403" s="10" t="e">
        <f>B403/(No_who_answered_survey-COUNTIFS(Table2[How comfortable is your centre? ],Condition_1,Table2[How your respect and dignity is protected?],"Not answered"))*100</f>
        <v>#DIV/0!</v>
      </c>
    </row>
    <row r="404" spans="1:4">
      <c r="A404" s="5" t="str">
        <f>'Validation List'!AB7</f>
        <v>Neutral</v>
      </c>
      <c r="B404" s="3">
        <f>COUNTIFS(Table2[How comfortable is your centre? ],Condition_1,Table2[How your respect and dignity is protected?],A404)</f>
        <v>0</v>
      </c>
      <c r="C404" s="3" t="e">
        <f t="shared" si="49"/>
        <v>#DIV/0!</v>
      </c>
      <c r="D404" s="10" t="e">
        <f>B404/(No_who_answered_survey-COUNTIFS(Table2[How comfortable is your centre? ],Condition_1,Table2[How your respect and dignity is protected?],"Not answered"))*100</f>
        <v>#DIV/0!</v>
      </c>
    </row>
    <row r="405" spans="1:4">
      <c r="A405" s="5" t="str">
        <f>'Validation List'!AB8</f>
        <v>Unhappy</v>
      </c>
      <c r="B405" s="3">
        <f>COUNTIFS(Table2[How comfortable is your centre? ],Condition_1,Table2[How your respect and dignity is protected?],A405)</f>
        <v>0</v>
      </c>
      <c r="C405" s="3" t="e">
        <f t="shared" si="49"/>
        <v>#DIV/0!</v>
      </c>
      <c r="D405" s="10" t="e">
        <f>B405/(No_who_answered_survey-COUNTIFS(Table2[How comfortable is your centre? ],Condition_1,Table2[How your respect and dignity is protected?],"Not answered"))*100</f>
        <v>#DIV/0!</v>
      </c>
    </row>
    <row r="406" spans="1:4">
      <c r="A406" s="5" t="str">
        <f>'Validation List'!AB9</f>
        <v>.</v>
      </c>
      <c r="B406" s="3">
        <f>COUNTIFS(Table2[How comfortable is your centre? ],Condition_1,Table2[How your respect and dignity is protected?],A406)</f>
        <v>0</v>
      </c>
      <c r="C406" s="3" t="e">
        <f t="shared" si="49"/>
        <v>#DIV/0!</v>
      </c>
      <c r="D406" s="10" t="e">
        <f>B406/(No_who_answered_survey-COUNTIFS(Table2[How comfortable is your centre? ],Condition_1,Table2[How your respect and dignity is protected?],"Not answered"))*100</f>
        <v>#DIV/0!</v>
      </c>
    </row>
    <row r="407" spans="1:4">
      <c r="A407" s="5" t="str">
        <f>'Validation List'!AB10</f>
        <v>.</v>
      </c>
      <c r="B407" s="3">
        <f>COUNTIFS(Table2[How comfortable is your centre? ],Condition_1,Table2[How your respect and dignity is protected?],A407)</f>
        <v>0</v>
      </c>
      <c r="C407" s="3" t="e">
        <f t="shared" si="49"/>
        <v>#DIV/0!</v>
      </c>
      <c r="D407" s="10" t="e">
        <f>B407/(No_who_answered_survey-COUNTIFS(Table2[How comfortable is your centre? ],Condition_1,Table2[How your respect and dignity is protected?],"Not answered"))*100</f>
        <v>#DIV/0!</v>
      </c>
    </row>
    <row r="408" spans="1:4">
      <c r="A408" s="5" t="str">
        <f>'Validation List'!AB11</f>
        <v>.</v>
      </c>
      <c r="B408" s="3">
        <f>COUNTIFS(Table2[How comfortable is your centre? ],Condition_1,Table2[How your respect and dignity is protected?],A408)</f>
        <v>0</v>
      </c>
      <c r="C408" s="3" t="e">
        <f t="shared" ref="C408:C411" si="50">B408/No_who_answered_survey*100</f>
        <v>#DIV/0!</v>
      </c>
      <c r="D408" s="10" t="e">
        <f>B408/(No_who_answered_survey-COUNTIFS(Table2[How comfortable is your centre? ],Condition_1,Table2[How your respect and dignity is protected?],"Not answered"))*100</f>
        <v>#DIV/0!</v>
      </c>
    </row>
    <row r="409" spans="1:4">
      <c r="A409" s="5" t="str">
        <f>'Validation List'!AB12</f>
        <v>.</v>
      </c>
      <c r="B409" s="3">
        <f>COUNTIFS(Table2[How comfortable is your centre? ],Condition_1,Table2[How your respect and dignity is protected?],A409)</f>
        <v>0</v>
      </c>
      <c r="C409" s="3" t="e">
        <f t="shared" si="50"/>
        <v>#DIV/0!</v>
      </c>
      <c r="D409" s="10" t="e">
        <f>B409/(No_who_answered_survey-COUNTIFS(Table2[How comfortable is your centre? ],Condition_1,Table2[How your respect and dignity is protected?],"Not answered"))*100</f>
        <v>#DIV/0!</v>
      </c>
    </row>
    <row r="410" spans="1:4">
      <c r="A410" s="5" t="str">
        <f>'Validation List'!AB13</f>
        <v>.</v>
      </c>
      <c r="B410" s="3">
        <f>COUNTIFS(Table2[How comfortable is your centre? ],Condition_1,Table2[How your respect and dignity is protected?],A410)</f>
        <v>0</v>
      </c>
      <c r="C410" s="3" t="e">
        <f t="shared" si="50"/>
        <v>#DIV/0!</v>
      </c>
      <c r="D410" s="10" t="e">
        <f>B410/(No_who_answered_survey-COUNTIFS(Table2[How comfortable is your centre? ],Condition_1,Table2[How your respect and dignity is protected?],"Not answered"))*100</f>
        <v>#DIV/0!</v>
      </c>
    </row>
    <row r="411" spans="1:4">
      <c r="A411" s="5" t="str">
        <f>'Validation List'!AB14</f>
        <v>.</v>
      </c>
      <c r="B411" s="3">
        <f>COUNTIFS(Table2[How comfortable is your centre? ],Condition_1,Table2[How your respect and dignity is protected?],A411)</f>
        <v>0</v>
      </c>
      <c r="C411" s="3" t="e">
        <f t="shared" si="50"/>
        <v>#DIV/0!</v>
      </c>
      <c r="D411" s="10" t="e">
        <f>B411/(No_who_answered_survey-COUNTIFS(Table2[How comfortable is your centre? ],Condition_1,Table2[How your respect and dignity is protected?],"Not answered"))*100</f>
        <v>#DIV/0!</v>
      </c>
    </row>
    <row r="412" spans="1:4">
      <c r="A412" s="5" t="str">
        <f>'Validation List'!AB15</f>
        <v>Not answered</v>
      </c>
      <c r="B412" s="3">
        <f>COUNTIFS(Table2[How comfortable is your centre? ],Condition_1,Table2[How your respect and dignity is protected?],A412)</f>
        <v>0</v>
      </c>
      <c r="C412" s="3" t="e">
        <f t="shared" si="49"/>
        <v>#DIV/0!</v>
      </c>
      <c r="D412" s="10"/>
    </row>
    <row r="413" spans="1:4">
      <c r="A413" s="5" t="s">
        <v>39</v>
      </c>
      <c r="B413" s="3">
        <f>SUM(B403:B412)</f>
        <v>0</v>
      </c>
      <c r="C413" s="3" t="e">
        <f>SUM(C403:C412)</f>
        <v>#DIV/0!</v>
      </c>
      <c r="D413" s="10" t="e">
        <f>SUM(D403:D412)</f>
        <v>#DIV/0!</v>
      </c>
    </row>
    <row r="416" spans="1:4" ht="30" customHeight="1">
      <c r="A416" s="58" t="str">
        <f>'Validation List'!AC3</f>
        <v>How safe you feel?</v>
      </c>
      <c r="B416" s="59"/>
      <c r="C416" s="59"/>
      <c r="D416" s="60"/>
    </row>
    <row r="417" spans="1:4">
      <c r="A417" s="5"/>
      <c r="B417" s="3" t="s">
        <v>37</v>
      </c>
      <c r="C417" s="3" t="s">
        <v>38</v>
      </c>
      <c r="D417" s="10" t="s">
        <v>40</v>
      </c>
    </row>
    <row r="418" spans="1:4">
      <c r="A418" s="5" t="str">
        <f>'Validation List'!AC6</f>
        <v>Happy</v>
      </c>
      <c r="B418" s="3">
        <f>COUNTIFS(Table2[How comfortable is your centre? ],Condition_1,Table2[How safe you feel?],A418)</f>
        <v>0</v>
      </c>
      <c r="C418" s="3" t="e">
        <f t="shared" ref="C418:C427" si="51">B418/No_who_answered_survey*100</f>
        <v>#DIV/0!</v>
      </c>
      <c r="D418" s="10" t="e">
        <f>B418/(No_who_answered_survey-COUNTIFS(Table2[How comfortable is your centre? ],Condition_1,Table2[How safe you feel?],"Not answered"))*100</f>
        <v>#DIV/0!</v>
      </c>
    </row>
    <row r="419" spans="1:4">
      <c r="A419" s="5" t="str">
        <f>'Validation List'!AC7</f>
        <v>Neutral</v>
      </c>
      <c r="B419" s="3">
        <f>COUNTIFS(Table2[How comfortable is your centre? ],Condition_1,Table2[How safe you feel?],A419)</f>
        <v>0</v>
      </c>
      <c r="C419" s="3" t="e">
        <f t="shared" si="51"/>
        <v>#DIV/0!</v>
      </c>
      <c r="D419" s="10" t="e">
        <f>B419/(No_who_answered_survey-COUNTIFS(Table2[How comfortable is your centre? ],Condition_1,Table2[How safe you feel?],"Not answered"))*100</f>
        <v>#DIV/0!</v>
      </c>
    </row>
    <row r="420" spans="1:4">
      <c r="A420" s="5" t="str">
        <f>'Validation List'!AC8</f>
        <v>Unhappy</v>
      </c>
      <c r="B420" s="3">
        <f>COUNTIFS(Table2[How comfortable is your centre? ],Condition_1,Table2[How safe you feel?],A420)</f>
        <v>0</v>
      </c>
      <c r="C420" s="3" t="e">
        <f t="shared" si="51"/>
        <v>#DIV/0!</v>
      </c>
      <c r="D420" s="10" t="e">
        <f>B420/(No_who_answered_survey-COUNTIFS(Table2[How comfortable is your centre? ],Condition_1,Table2[How safe you feel?],"Not answered"))*100</f>
        <v>#DIV/0!</v>
      </c>
    </row>
    <row r="421" spans="1:4">
      <c r="A421" s="5" t="str">
        <f>'Validation List'!AC9</f>
        <v>.</v>
      </c>
      <c r="B421" s="3">
        <f>COUNTIFS(Table2[How comfortable is your centre? ],Condition_1,Table2[How safe you feel?],A421)</f>
        <v>0</v>
      </c>
      <c r="C421" s="3" t="e">
        <f t="shared" si="51"/>
        <v>#DIV/0!</v>
      </c>
      <c r="D421" s="10" t="e">
        <f>B421/(No_who_answered_survey-COUNTIFS(Table2[How comfortable is your centre? ],Condition_1,Table2[How safe you feel?],"Not answered"))*100</f>
        <v>#DIV/0!</v>
      </c>
    </row>
    <row r="422" spans="1:4">
      <c r="A422" s="5" t="str">
        <f>'Validation List'!AC10</f>
        <v>.</v>
      </c>
      <c r="B422" s="3">
        <f>COUNTIFS(Table2[How comfortable is your centre? ],Condition_1,Table2[How safe you feel?],A422)</f>
        <v>0</v>
      </c>
      <c r="C422" s="3" t="e">
        <f t="shared" si="51"/>
        <v>#DIV/0!</v>
      </c>
      <c r="D422" s="10" t="e">
        <f>B422/(No_who_answered_survey-COUNTIFS(Table2[How comfortable is your centre? ],Condition_1,Table2[How safe you feel?],"Not answered"))*100</f>
        <v>#DIV/0!</v>
      </c>
    </row>
    <row r="423" spans="1:4">
      <c r="A423" s="5" t="str">
        <f>'Validation List'!AC11</f>
        <v>.</v>
      </c>
      <c r="B423" s="3">
        <f>COUNTIFS(Table2[How comfortable is your centre? ],Condition_1,Table2[How safe you feel?],A423)</f>
        <v>0</v>
      </c>
      <c r="C423" s="3" t="e">
        <f t="shared" ref="C423:C426" si="52">B423/No_who_answered_survey*100</f>
        <v>#DIV/0!</v>
      </c>
      <c r="D423" s="10" t="e">
        <f>B423/(No_who_answered_survey-COUNTIFS(Table2[How comfortable is your centre? ],Condition_1,Table2[How safe you feel?],"Not answered"))*100</f>
        <v>#DIV/0!</v>
      </c>
    </row>
    <row r="424" spans="1:4">
      <c r="A424" s="5" t="str">
        <f>'Validation List'!AC12</f>
        <v>.</v>
      </c>
      <c r="B424" s="3">
        <f>COUNTIFS(Table2[How comfortable is your centre? ],Condition_1,Table2[How safe you feel?],A424)</f>
        <v>0</v>
      </c>
      <c r="C424" s="3" t="e">
        <f t="shared" si="52"/>
        <v>#DIV/0!</v>
      </c>
      <c r="D424" s="10" t="e">
        <f>B424/(No_who_answered_survey-COUNTIFS(Table2[How comfortable is your centre? ],Condition_1,Table2[How safe you feel?],"Not answered"))*100</f>
        <v>#DIV/0!</v>
      </c>
    </row>
    <row r="425" spans="1:4">
      <c r="A425" s="5" t="str">
        <f>'Validation List'!AC13</f>
        <v>.</v>
      </c>
      <c r="B425" s="3">
        <f>COUNTIFS(Table2[How comfortable is your centre? ],Condition_1,Table2[How safe you feel?],A425)</f>
        <v>0</v>
      </c>
      <c r="C425" s="3" t="e">
        <f t="shared" si="52"/>
        <v>#DIV/0!</v>
      </c>
      <c r="D425" s="10" t="e">
        <f>B425/(No_who_answered_survey-COUNTIFS(Table2[How comfortable is your centre? ],Condition_1,Table2[How safe you feel?],"Not answered"))*100</f>
        <v>#DIV/0!</v>
      </c>
    </row>
    <row r="426" spans="1:4">
      <c r="A426" s="5" t="str">
        <f>'Validation List'!AC14</f>
        <v>.</v>
      </c>
      <c r="B426" s="3">
        <f>COUNTIFS(Table2[How comfortable is your centre? ],Condition_1,Table2[How safe you feel?],A426)</f>
        <v>0</v>
      </c>
      <c r="C426" s="3" t="e">
        <f t="shared" si="52"/>
        <v>#DIV/0!</v>
      </c>
      <c r="D426" s="10" t="e">
        <f>B426/(No_who_answered_survey-COUNTIFS(Table2[How comfortable is your centre? ],Condition_1,Table2[How safe you feel?],"Not answered"))*100</f>
        <v>#DIV/0!</v>
      </c>
    </row>
    <row r="427" spans="1:4">
      <c r="A427" s="5" t="str">
        <f>'Validation List'!AC15</f>
        <v>Not answered</v>
      </c>
      <c r="B427" s="3">
        <f>COUNTIFS(Table2[How comfortable is your centre? ],Condition_1,Table2[How safe you feel?],A427)</f>
        <v>0</v>
      </c>
      <c r="C427" s="3" t="e">
        <f t="shared" si="51"/>
        <v>#DIV/0!</v>
      </c>
      <c r="D427" s="10"/>
    </row>
    <row r="428" spans="1:4">
      <c r="A428" s="5" t="s">
        <v>39</v>
      </c>
      <c r="B428" s="3">
        <f>SUM(B418:B427)</f>
        <v>0</v>
      </c>
      <c r="C428" s="3" t="e">
        <f>SUM(C418:C427)</f>
        <v>#DIV/0!</v>
      </c>
      <c r="D428" s="10" t="e">
        <f>SUM(D418:D427)</f>
        <v>#DIV/0!</v>
      </c>
    </row>
    <row r="431" spans="1:4" ht="26.25" customHeight="1">
      <c r="A431" s="58" t="str">
        <f>'Validation List'!AD3</f>
        <v>Your relationships with other residents?</v>
      </c>
      <c r="B431" s="59"/>
      <c r="C431" s="59"/>
      <c r="D431" s="60"/>
    </row>
    <row r="432" spans="1:4">
      <c r="A432" s="5"/>
      <c r="B432" s="3" t="s">
        <v>37</v>
      </c>
      <c r="C432" s="3" t="s">
        <v>38</v>
      </c>
      <c r="D432" s="10" t="s">
        <v>40</v>
      </c>
    </row>
    <row r="433" spans="1:4">
      <c r="A433" s="5" t="str">
        <f>'Validation List'!AD6</f>
        <v>Happy</v>
      </c>
      <c r="B433" s="3">
        <f>COUNTIFS(Table2[How comfortable is your centre? ],Condition_1,Table2[Your relationships with other residents?],A433)</f>
        <v>0</v>
      </c>
      <c r="C433" s="3" t="e">
        <f t="shared" ref="C433:C442" si="53">B433/No_who_answered_survey*100</f>
        <v>#DIV/0!</v>
      </c>
      <c r="D433" s="10" t="e">
        <f>B433/(No_who_answered_survey-COUNTIFS(Table2[How comfortable is your centre? ],Condition_1,Table2[Your relationships with other residents?],"Not answered"))*100</f>
        <v>#DIV/0!</v>
      </c>
    </row>
    <row r="434" spans="1:4">
      <c r="A434" s="5" t="str">
        <f>'Validation List'!AD7</f>
        <v>Neutral</v>
      </c>
      <c r="B434" s="3">
        <f>COUNTIFS(Table2[How comfortable is your centre? ],Condition_1,Table2[Your relationships with other residents?],A434)</f>
        <v>0</v>
      </c>
      <c r="C434" s="3" t="e">
        <f t="shared" si="53"/>
        <v>#DIV/0!</v>
      </c>
      <c r="D434" s="10" t="e">
        <f>B434/(No_who_answered_survey-COUNTIFS(Table2[How comfortable is your centre? ],Condition_1,Table2[Your relationships with other residents?],"Not answered"))*100</f>
        <v>#DIV/0!</v>
      </c>
    </row>
    <row r="435" spans="1:4">
      <c r="A435" s="5" t="str">
        <f>'Validation List'!AD8</f>
        <v>Unhappy</v>
      </c>
      <c r="B435" s="3">
        <f>COUNTIFS(Table2[How comfortable is your centre? ],Condition_1,Table2[Your relationships with other residents?],A435)</f>
        <v>0</v>
      </c>
      <c r="C435" s="3" t="e">
        <f t="shared" si="53"/>
        <v>#DIV/0!</v>
      </c>
      <c r="D435" s="10" t="e">
        <f>B435/(No_who_answered_survey-COUNTIFS(Table2[How comfortable is your centre? ],Condition_1,Table2[Your relationships with other residents?],"Not answered"))*100</f>
        <v>#DIV/0!</v>
      </c>
    </row>
    <row r="436" spans="1:4">
      <c r="A436" s="5" t="str">
        <f>'Validation List'!AD9</f>
        <v>.</v>
      </c>
      <c r="B436" s="3">
        <f>COUNTIFS(Table2[How comfortable is your centre? ],Condition_1,Table2[Your relationships with other residents?],A436)</f>
        <v>0</v>
      </c>
      <c r="C436" s="3" t="e">
        <f t="shared" si="53"/>
        <v>#DIV/0!</v>
      </c>
      <c r="D436" s="10" t="e">
        <f>B436/(No_who_answered_survey-COUNTIFS(Table2[How comfortable is your centre? ],Condition_1,Table2[Your relationships with other residents?],"Not answered"))*100</f>
        <v>#DIV/0!</v>
      </c>
    </row>
    <row r="437" spans="1:4">
      <c r="A437" s="5" t="str">
        <f>'Validation List'!AD10</f>
        <v>.</v>
      </c>
      <c r="B437" s="3">
        <f>COUNTIFS(Table2[How comfortable is your centre? ],Condition_1,Table2[Your relationships with other residents?],A437)</f>
        <v>0</v>
      </c>
      <c r="C437" s="3" t="e">
        <f t="shared" si="53"/>
        <v>#DIV/0!</v>
      </c>
      <c r="D437" s="10" t="e">
        <f>B437/(No_who_answered_survey-COUNTIFS(Table2[How comfortable is your centre? ],Condition_1,Table2[Your relationships with other residents?],"Not answered"))*100</f>
        <v>#DIV/0!</v>
      </c>
    </row>
    <row r="438" spans="1:4">
      <c r="A438" s="5" t="str">
        <f>'Validation List'!AD11</f>
        <v>.</v>
      </c>
      <c r="B438" s="3">
        <f>COUNTIFS(Table2[How comfortable is your centre? ],Condition_1,Table2[Your relationships with other residents?],A438)</f>
        <v>0</v>
      </c>
      <c r="C438" s="3" t="e">
        <f t="shared" ref="C438:C441" si="54">B438/No_who_answered_survey*100</f>
        <v>#DIV/0!</v>
      </c>
      <c r="D438" s="10" t="e">
        <f>B438/(No_who_answered_survey-COUNTIFS(Table2[How comfortable is your centre? ],Condition_1,Table2[Your relationships with other residents?],"Not answered"))*100</f>
        <v>#DIV/0!</v>
      </c>
    </row>
    <row r="439" spans="1:4">
      <c r="A439" s="5" t="str">
        <f>'Validation List'!AD12</f>
        <v>.</v>
      </c>
      <c r="B439" s="3">
        <f>COUNTIFS(Table2[How comfortable is your centre? ],Condition_1,Table2[Your relationships with other residents?],A439)</f>
        <v>0</v>
      </c>
      <c r="C439" s="3" t="e">
        <f t="shared" si="54"/>
        <v>#DIV/0!</v>
      </c>
      <c r="D439" s="10" t="e">
        <f>B439/(No_who_answered_survey-COUNTIFS(Table2[How comfortable is your centre? ],Condition_1,Table2[Your relationships with other residents?],"Not answered"))*100</f>
        <v>#DIV/0!</v>
      </c>
    </row>
    <row r="440" spans="1:4">
      <c r="A440" s="5" t="str">
        <f>'Validation List'!AD13</f>
        <v>.</v>
      </c>
      <c r="B440" s="3">
        <f>COUNTIFS(Table2[How comfortable is your centre? ],Condition_1,Table2[Your relationships with other residents?],A440)</f>
        <v>0</v>
      </c>
      <c r="C440" s="3" t="e">
        <f t="shared" si="54"/>
        <v>#DIV/0!</v>
      </c>
      <c r="D440" s="10" t="e">
        <f>B440/(No_who_answered_survey-COUNTIFS(Table2[How comfortable is your centre? ],Condition_1,Table2[Your relationships with other residents?],"Not answered"))*100</f>
        <v>#DIV/0!</v>
      </c>
    </row>
    <row r="441" spans="1:4">
      <c r="A441" s="5" t="str">
        <f>'Validation List'!AD14</f>
        <v>.</v>
      </c>
      <c r="B441" s="3">
        <f>COUNTIFS(Table2[How comfortable is your centre? ],Condition_1,Table2[Your relationships with other residents?],A441)</f>
        <v>0</v>
      </c>
      <c r="C441" s="3" t="e">
        <f t="shared" si="54"/>
        <v>#DIV/0!</v>
      </c>
      <c r="D441" s="10" t="e">
        <f>B441/(No_who_answered_survey-COUNTIFS(Table2[How comfortable is your centre? ],Condition_1,Table2[Your relationships with other residents?],"Not answered"))*100</f>
        <v>#DIV/0!</v>
      </c>
    </row>
    <row r="442" spans="1:4">
      <c r="A442" s="5" t="str">
        <f>'Validation List'!AD15</f>
        <v>Not answered</v>
      </c>
      <c r="B442" s="3">
        <f>COUNTIFS(Table2[How comfortable is your centre? ],Condition_1,Table2[Your relationships with other residents?],A442)</f>
        <v>0</v>
      </c>
      <c r="C442" s="3" t="e">
        <f t="shared" si="53"/>
        <v>#DIV/0!</v>
      </c>
      <c r="D442" s="10"/>
    </row>
    <row r="443" spans="1:4">
      <c r="A443" s="5" t="s">
        <v>39</v>
      </c>
      <c r="B443" s="3">
        <f>SUM(B433:B442)</f>
        <v>0</v>
      </c>
      <c r="C443" s="3" t="e">
        <f>SUM(C433:C442)</f>
        <v>#DIV/0!</v>
      </c>
      <c r="D443" s="10" t="e">
        <f>SUM(D433:D442)</f>
        <v>#DIV/0!</v>
      </c>
    </row>
    <row r="446" spans="1:4" ht="28.5" customHeight="1">
      <c r="A446" s="58" t="str">
        <f>'Validation List'!AE3</f>
        <v xml:space="preserve">Your involvement in deciding on the activities in your centre? </v>
      </c>
      <c r="B446" s="59"/>
      <c r="C446" s="59"/>
      <c r="D446" s="60"/>
    </row>
    <row r="447" spans="1:4">
      <c r="A447" s="5"/>
      <c r="B447" s="3" t="s">
        <v>37</v>
      </c>
      <c r="C447" s="3" t="s">
        <v>38</v>
      </c>
      <c r="D447" s="10" t="s">
        <v>40</v>
      </c>
    </row>
    <row r="448" spans="1:4">
      <c r="A448" s="5" t="str">
        <f>'Validation List'!AE6</f>
        <v>Happy</v>
      </c>
      <c r="B448" s="3">
        <f>COUNTIFS(Table2[How comfortable is your centre? ],Condition_1,Table2[Your involvement in deciding on the activities in your centre? ],A448)</f>
        <v>0</v>
      </c>
      <c r="C448" s="3" t="e">
        <f t="shared" ref="C448:C457" si="55">B448/No_who_answered_survey*100</f>
        <v>#DIV/0!</v>
      </c>
      <c r="D448" s="10" t="e">
        <f>B448/(No_who_answered_survey-COUNTIFS(Table2[How comfortable is your centre? ],Condition_1,Table2[Your involvement in deciding on the activities in your centre? ],"Not answered"))*100</f>
        <v>#DIV/0!</v>
      </c>
    </row>
    <row r="449" spans="1:4">
      <c r="A449" s="5" t="str">
        <f>'Validation List'!AE7</f>
        <v>Neutral</v>
      </c>
      <c r="B449" s="3">
        <f>COUNTIFS(Table2[How comfortable is your centre? ],Condition_1,Table2[Your involvement in deciding on the activities in your centre? ],A449)</f>
        <v>0</v>
      </c>
      <c r="C449" s="3" t="e">
        <f t="shared" si="55"/>
        <v>#DIV/0!</v>
      </c>
      <c r="D449" s="10" t="e">
        <f>B449/(No_who_answered_survey-COUNTIFS(Table2[How comfortable is your centre? ],Condition_1,Table2[Your involvement in deciding on the activities in your centre? ],"Not answered"))*100</f>
        <v>#DIV/0!</v>
      </c>
    </row>
    <row r="450" spans="1:4">
      <c r="A450" s="5" t="str">
        <f>'Validation List'!AE8</f>
        <v>Unhappy</v>
      </c>
      <c r="B450" s="3">
        <f>COUNTIFS(Table2[How comfortable is your centre? ],Condition_1,Table2[Your involvement in deciding on the activities in your centre? ],A450)</f>
        <v>0</v>
      </c>
      <c r="C450" s="3" t="e">
        <f t="shared" si="55"/>
        <v>#DIV/0!</v>
      </c>
      <c r="D450" s="10" t="e">
        <f>B450/(No_who_answered_survey-COUNTIFS(Table2[How comfortable is your centre? ],Condition_1,Table2[Your involvement in deciding on the activities in your centre? ],"Not answered"))*100</f>
        <v>#DIV/0!</v>
      </c>
    </row>
    <row r="451" spans="1:4">
      <c r="A451" s="5" t="str">
        <f>'Validation List'!AE9</f>
        <v>.</v>
      </c>
      <c r="B451" s="3">
        <f>COUNTIFS(Table2[How comfortable is your centre? ],Condition_1,Table2[Your involvement in deciding on the activities in your centre? ],A451)</f>
        <v>0</v>
      </c>
      <c r="C451" s="3" t="e">
        <f t="shared" si="55"/>
        <v>#DIV/0!</v>
      </c>
      <c r="D451" s="10" t="e">
        <f>B451/(No_who_answered_survey-COUNTIFS(Table2[How comfortable is your centre? ],Condition_1,Table2[Your involvement in deciding on the activities in your centre? ],"Not answered"))*100</f>
        <v>#DIV/0!</v>
      </c>
    </row>
    <row r="452" spans="1:4">
      <c r="A452" s="5" t="str">
        <f>'Validation List'!AE10</f>
        <v>.</v>
      </c>
      <c r="B452" s="3">
        <f>COUNTIFS(Table2[How comfortable is your centre? ],Condition_1,Table2[Your involvement in deciding on the activities in your centre? ],A452)</f>
        <v>0</v>
      </c>
      <c r="C452" s="3" t="e">
        <f t="shared" si="55"/>
        <v>#DIV/0!</v>
      </c>
      <c r="D452" s="10" t="e">
        <f>B452/(No_who_answered_survey-COUNTIFS(Table2[How comfortable is your centre? ],Condition_1,Table2[Your involvement in deciding on the activities in your centre? ],"Not answered"))*100</f>
        <v>#DIV/0!</v>
      </c>
    </row>
    <row r="453" spans="1:4">
      <c r="A453" s="5" t="str">
        <f>'Validation List'!AE11</f>
        <v>.</v>
      </c>
      <c r="B453" s="3">
        <f>COUNTIFS(Table2[How comfortable is your centre? ],Condition_1,Table2[Your involvement in deciding on the activities in your centre? ],A453)</f>
        <v>0</v>
      </c>
      <c r="C453" s="3" t="e">
        <f t="shared" ref="C453:C456" si="56">B453/No_who_answered_survey*100</f>
        <v>#DIV/0!</v>
      </c>
      <c r="D453" s="10" t="e">
        <f>B453/(No_who_answered_survey-COUNTIFS(Table2[How comfortable is your centre? ],Condition_1,Table2[Your involvement in deciding on the activities in your centre? ],"Not answered"))*100</f>
        <v>#DIV/0!</v>
      </c>
    </row>
    <row r="454" spans="1:4">
      <c r="A454" s="5" t="str">
        <f>'Validation List'!AE12</f>
        <v>.</v>
      </c>
      <c r="B454" s="3">
        <f>COUNTIFS(Table2[How comfortable is your centre? ],Condition_1,Table2[Your involvement in deciding on the activities in your centre? ],A454)</f>
        <v>0</v>
      </c>
      <c r="C454" s="3" t="e">
        <f t="shared" si="56"/>
        <v>#DIV/0!</v>
      </c>
      <c r="D454" s="10" t="e">
        <f>B454/(No_who_answered_survey-COUNTIFS(Table2[How comfortable is your centre? ],Condition_1,Table2[Your involvement in deciding on the activities in your centre? ],"Not answered"))*100</f>
        <v>#DIV/0!</v>
      </c>
    </row>
    <row r="455" spans="1:4">
      <c r="A455" s="5" t="str">
        <f>'Validation List'!AE13</f>
        <v>.</v>
      </c>
      <c r="B455" s="3">
        <f>COUNTIFS(Table2[How comfortable is your centre? ],Condition_1,Table2[Your involvement in deciding on the activities in your centre? ],A455)</f>
        <v>0</v>
      </c>
      <c r="C455" s="3" t="e">
        <f t="shared" si="56"/>
        <v>#DIV/0!</v>
      </c>
      <c r="D455" s="10" t="e">
        <f>B455/(No_who_answered_survey-COUNTIFS(Table2[How comfortable is your centre? ],Condition_1,Table2[Your involvement in deciding on the activities in your centre? ],"Not answered"))*100</f>
        <v>#DIV/0!</v>
      </c>
    </row>
    <row r="456" spans="1:4">
      <c r="A456" s="5" t="str">
        <f>'Validation List'!AE14</f>
        <v>.</v>
      </c>
      <c r="B456" s="3">
        <f>COUNTIFS(Table2[How comfortable is your centre? ],Condition_1,Table2[Your involvement in deciding on the activities in your centre? ],A456)</f>
        <v>0</v>
      </c>
      <c r="C456" s="3" t="e">
        <f t="shared" si="56"/>
        <v>#DIV/0!</v>
      </c>
      <c r="D456" s="10" t="e">
        <f>B456/(No_who_answered_survey-COUNTIFS(Table2[How comfortable is your centre? ],Condition_1,Table2[Your involvement in deciding on the activities in your centre? ],"Not answered"))*100</f>
        <v>#DIV/0!</v>
      </c>
    </row>
    <row r="457" spans="1:4">
      <c r="A457" s="5" t="str">
        <f>'Validation List'!AE15</f>
        <v>Not answered</v>
      </c>
      <c r="B457" s="3">
        <f>COUNTIFS(Table2[How comfortable is your centre? ],Condition_1,Table2[Your involvement in deciding on the activities in your centre? ],A457)</f>
        <v>0</v>
      </c>
      <c r="C457" s="3" t="e">
        <f t="shared" si="55"/>
        <v>#DIV/0!</v>
      </c>
      <c r="D457" s="10"/>
    </row>
    <row r="458" spans="1:4">
      <c r="A458" s="5" t="s">
        <v>39</v>
      </c>
      <c r="B458" s="3">
        <f>SUM(B448:B457)</f>
        <v>0</v>
      </c>
      <c r="C458" s="3" t="e">
        <f>SUM(C448:C457)</f>
        <v>#DIV/0!</v>
      </c>
      <c r="D458" s="10" t="e">
        <f>SUM(D448:D457)</f>
        <v>#DIV/0!</v>
      </c>
    </row>
    <row r="461" spans="1:4">
      <c r="A461" s="58" t="str">
        <f>'Validation List'!AF3</f>
        <v xml:space="preserve">How often you go outside your centre? </v>
      </c>
      <c r="B461" s="59"/>
      <c r="C461" s="59"/>
      <c r="D461" s="60"/>
    </row>
    <row r="462" spans="1:4">
      <c r="A462" s="5"/>
      <c r="B462" s="3" t="s">
        <v>37</v>
      </c>
      <c r="C462" s="3" t="s">
        <v>38</v>
      </c>
      <c r="D462" s="10" t="s">
        <v>40</v>
      </c>
    </row>
    <row r="463" spans="1:4">
      <c r="A463" s="5" t="str">
        <f>'Validation List'!AF6</f>
        <v>Happy</v>
      </c>
      <c r="B463" s="3">
        <f>COUNTIFS(Table2[How comfortable is your centre? ],Condition_1,Table2[How often you go outside your centre? ],A463)</f>
        <v>0</v>
      </c>
      <c r="C463" s="3" t="e">
        <f t="shared" ref="C463:C472" si="57">B463/No_who_answered_survey*100</f>
        <v>#DIV/0!</v>
      </c>
      <c r="D463" s="10" t="e">
        <f>B463/(No_who_answered_survey-COUNTIFS(Table2[How comfortable is your centre? ],Condition_1,Table2[How often you go outside your centre? ],"Not answered"))*100</f>
        <v>#DIV/0!</v>
      </c>
    </row>
    <row r="464" spans="1:4">
      <c r="A464" s="5" t="str">
        <f>'Validation List'!AF7</f>
        <v>Neutral</v>
      </c>
      <c r="B464" s="3">
        <f>COUNTIFS(Table2[How comfortable is your centre? ],Condition_1,Table2[How often you go outside your centre? ],A464)</f>
        <v>0</v>
      </c>
      <c r="C464" s="3" t="e">
        <f t="shared" si="57"/>
        <v>#DIV/0!</v>
      </c>
      <c r="D464" s="10" t="e">
        <f>B464/(No_who_answered_survey-COUNTIFS(Table2[How comfortable is your centre? ],Condition_1,Table2[How often you go outside your centre? ],"Not answered"))*100</f>
        <v>#DIV/0!</v>
      </c>
    </row>
    <row r="465" spans="1:4">
      <c r="A465" s="5" t="str">
        <f>'Validation List'!AF8</f>
        <v>Unhappy</v>
      </c>
      <c r="B465" s="3">
        <f>COUNTIFS(Table2[How comfortable is your centre? ],Condition_1,Table2[How often you go outside your centre? ],A465)</f>
        <v>0</v>
      </c>
      <c r="C465" s="3" t="e">
        <f t="shared" si="57"/>
        <v>#DIV/0!</v>
      </c>
      <c r="D465" s="10" t="e">
        <f>B465/(No_who_answered_survey-COUNTIFS(Table2[How comfortable is your centre? ],Condition_1,Table2[How often you go outside your centre? ],"Not answered"))*100</f>
        <v>#DIV/0!</v>
      </c>
    </row>
    <row r="466" spans="1:4">
      <c r="A466" s="5" t="str">
        <f>'Validation List'!AF9</f>
        <v>.</v>
      </c>
      <c r="B466" s="3">
        <f>COUNTIFS(Table2[How comfortable is your centre? ],Condition_1,Table2[How often you go outside your centre? ],A466)</f>
        <v>0</v>
      </c>
      <c r="C466" s="3" t="e">
        <f t="shared" si="57"/>
        <v>#DIV/0!</v>
      </c>
      <c r="D466" s="10" t="e">
        <f>B466/(No_who_answered_survey-COUNTIFS(Table2[How comfortable is your centre? ],Condition_1,Table2[How often you go outside your centre? ],"Not answered"))*100</f>
        <v>#DIV/0!</v>
      </c>
    </row>
    <row r="467" spans="1:4">
      <c r="A467" s="5" t="str">
        <f>'Validation List'!AF10</f>
        <v>.</v>
      </c>
      <c r="B467" s="3">
        <f>COUNTIFS(Table2[How comfortable is your centre? ],Condition_1,Table2[How often you go outside your centre? ],A467)</f>
        <v>0</v>
      </c>
      <c r="C467" s="3" t="e">
        <f t="shared" si="57"/>
        <v>#DIV/0!</v>
      </c>
      <c r="D467" s="10" t="e">
        <f>B467/(No_who_answered_survey-COUNTIFS(Table2[How comfortable is your centre? ],Condition_1,Table2[How often you go outside your centre? ],"Not answered"))*100</f>
        <v>#DIV/0!</v>
      </c>
    </row>
    <row r="468" spans="1:4">
      <c r="A468" s="5" t="str">
        <f>'Validation List'!AF11</f>
        <v>.</v>
      </c>
      <c r="B468" s="3">
        <f>COUNTIFS(Table2[How comfortable is your centre? ],Condition_1,Table2[How often you go outside your centre? ],A468)</f>
        <v>0</v>
      </c>
      <c r="C468" s="3" t="e">
        <f t="shared" ref="C468:C471" si="58">B468/No_who_answered_survey*100</f>
        <v>#DIV/0!</v>
      </c>
      <c r="D468" s="10" t="e">
        <f>B468/(No_who_answered_survey-COUNTIFS(Table2[How comfortable is your centre? ],Condition_1,Table2[How often you go outside your centre? ],"Not answered"))*100</f>
        <v>#DIV/0!</v>
      </c>
    </row>
    <row r="469" spans="1:4">
      <c r="A469" s="5" t="str">
        <f>'Validation List'!AF12</f>
        <v>.</v>
      </c>
      <c r="B469" s="3">
        <f>COUNTIFS(Table2[How comfortable is your centre? ],Condition_1,Table2[How often you go outside your centre? ],A469)</f>
        <v>0</v>
      </c>
      <c r="C469" s="3" t="e">
        <f t="shared" si="58"/>
        <v>#DIV/0!</v>
      </c>
      <c r="D469" s="10" t="e">
        <f>B469/(No_who_answered_survey-COUNTIFS(Table2[How comfortable is your centre? ],Condition_1,Table2[How often you go outside your centre? ],"Not answered"))*100</f>
        <v>#DIV/0!</v>
      </c>
    </row>
    <row r="470" spans="1:4">
      <c r="A470" s="5" t="str">
        <f>'Validation List'!AF13</f>
        <v>.</v>
      </c>
      <c r="B470" s="3">
        <f>COUNTIFS(Table2[How comfortable is your centre? ],Condition_1,Table2[How often you go outside your centre? ],A470)</f>
        <v>0</v>
      </c>
      <c r="C470" s="3" t="e">
        <f t="shared" si="58"/>
        <v>#DIV/0!</v>
      </c>
      <c r="D470" s="10" t="e">
        <f>B470/(No_who_answered_survey-COUNTIFS(Table2[How comfortable is your centre? ],Condition_1,Table2[How often you go outside your centre? ],"Not answered"))*100</f>
        <v>#DIV/0!</v>
      </c>
    </row>
    <row r="471" spans="1:4">
      <c r="A471" s="5" t="str">
        <f>'Validation List'!AF14</f>
        <v>.</v>
      </c>
      <c r="B471" s="3">
        <f>COUNTIFS(Table2[How comfortable is your centre? ],Condition_1,Table2[How often you go outside your centre? ],A471)</f>
        <v>0</v>
      </c>
      <c r="C471" s="3" t="e">
        <f t="shared" si="58"/>
        <v>#DIV/0!</v>
      </c>
      <c r="D471" s="10" t="e">
        <f>B471/(No_who_answered_survey-COUNTIFS(Table2[How comfortable is your centre? ],Condition_1,Table2[How often you go outside your centre? ],"Not answered"))*100</f>
        <v>#DIV/0!</v>
      </c>
    </row>
    <row r="472" spans="1:4">
      <c r="A472" s="5" t="str">
        <f>'Validation List'!AF15</f>
        <v>Not answered</v>
      </c>
      <c r="B472" s="3">
        <f>COUNTIFS(Table2[How comfortable is your centre? ],Condition_1,Table2[How often you go outside your centre? ],A472)</f>
        <v>0</v>
      </c>
      <c r="C472" s="3" t="e">
        <f t="shared" si="57"/>
        <v>#DIV/0!</v>
      </c>
      <c r="D472" s="10"/>
    </row>
    <row r="473" spans="1:4">
      <c r="A473" s="5" t="s">
        <v>39</v>
      </c>
      <c r="B473" s="3">
        <f>SUM(B463:B472)</f>
        <v>0</v>
      </c>
      <c r="C473" s="3" t="e">
        <f>SUM(C463:C472)</f>
        <v>#DIV/0!</v>
      </c>
      <c r="D473" s="10" t="e">
        <f>SUM(D463:D472)</f>
        <v>#DIV/0!</v>
      </c>
    </row>
    <row r="476" spans="1:4" ht="27.75" customHeight="1">
      <c r="A476" s="58" t="str">
        <f>'Validation List'!AG3</f>
        <v xml:space="preserve">Your participation in the wider community outside your centre? </v>
      </c>
      <c r="B476" s="59"/>
      <c r="C476" s="59"/>
      <c r="D476" s="60"/>
    </row>
    <row r="477" spans="1:4">
      <c r="A477" s="5"/>
      <c r="B477" s="3" t="s">
        <v>37</v>
      </c>
      <c r="C477" s="3" t="s">
        <v>38</v>
      </c>
      <c r="D477" s="10" t="s">
        <v>40</v>
      </c>
    </row>
    <row r="478" spans="1:4">
      <c r="A478" s="5" t="str">
        <f>'Validation List'!AG6</f>
        <v>Happy</v>
      </c>
      <c r="B478" s="3">
        <f>COUNTIFS(Table2[How comfortable is your centre? ],Condition_1,Table2[Your participation in the wider community outside your centre? ],A478)</f>
        <v>0</v>
      </c>
      <c r="C478" s="3" t="e">
        <f t="shared" ref="C478:C487" si="59">B478/No_who_answered_survey*100</f>
        <v>#DIV/0!</v>
      </c>
      <c r="D478" s="10" t="e">
        <f>B478/(No_who_answered_survey-COUNTIFS(Table2[How comfortable is your centre? ],Condition_1,Table2[Your participation in the wider community outside your centre? ],"Not answered"))*100</f>
        <v>#DIV/0!</v>
      </c>
    </row>
    <row r="479" spans="1:4">
      <c r="A479" s="5" t="str">
        <f>'Validation List'!AG7</f>
        <v>Neutral</v>
      </c>
      <c r="B479" s="3">
        <f>COUNTIFS(Table2[How comfortable is your centre? ],Condition_1,Table2[Your participation in the wider community outside your centre? ],A479)</f>
        <v>0</v>
      </c>
      <c r="C479" s="3" t="e">
        <f t="shared" si="59"/>
        <v>#DIV/0!</v>
      </c>
      <c r="D479" s="10" t="e">
        <f>B479/(No_who_answered_survey-COUNTIFS(Table2[How comfortable is your centre? ],Condition_1,Table2[Your participation in the wider community outside your centre? ],"Not answered"))*100</f>
        <v>#DIV/0!</v>
      </c>
    </row>
    <row r="480" spans="1:4">
      <c r="A480" s="5" t="str">
        <f>'Validation List'!AG8</f>
        <v>Unhappy</v>
      </c>
      <c r="B480" s="3">
        <f>COUNTIFS(Table2[How comfortable is your centre? ],Condition_1,Table2[Your participation in the wider community outside your centre? ],A480)</f>
        <v>0</v>
      </c>
      <c r="C480" s="3" t="e">
        <f t="shared" si="59"/>
        <v>#DIV/0!</v>
      </c>
      <c r="D480" s="10" t="e">
        <f>B480/(No_who_answered_survey-COUNTIFS(Table2[How comfortable is your centre? ],Condition_1,Table2[Your participation in the wider community outside your centre? ],"Not answered"))*100</f>
        <v>#DIV/0!</v>
      </c>
    </row>
    <row r="481" spans="1:4">
      <c r="A481" s="5" t="str">
        <f>'Validation List'!AG9</f>
        <v>.</v>
      </c>
      <c r="B481" s="3">
        <f>COUNTIFS(Table2[How comfortable is your centre? ],Condition_1,Table2[Your participation in the wider community outside your centre? ],A481)</f>
        <v>0</v>
      </c>
      <c r="C481" s="3" t="e">
        <f t="shared" si="59"/>
        <v>#DIV/0!</v>
      </c>
      <c r="D481" s="10" t="e">
        <f>B481/(No_who_answered_survey-COUNTIFS(Table2[How comfortable is your centre? ],Condition_1,Table2[Your participation in the wider community outside your centre? ],"Not answered"))*100</f>
        <v>#DIV/0!</v>
      </c>
    </row>
    <row r="482" spans="1:4">
      <c r="A482" s="5" t="str">
        <f>'Validation List'!AG10</f>
        <v>.</v>
      </c>
      <c r="B482" s="3">
        <f>COUNTIFS(Table2[How comfortable is your centre? ],Condition_1,Table2[Your participation in the wider community outside your centre? ],A482)</f>
        <v>0</v>
      </c>
      <c r="C482" s="3" t="e">
        <f t="shared" si="59"/>
        <v>#DIV/0!</v>
      </c>
      <c r="D482" s="10" t="e">
        <f>B482/(No_who_answered_survey-COUNTIFS(Table2[How comfortable is your centre? ],Condition_1,Table2[Your participation in the wider community outside your centre? ],"Not answered"))*100</f>
        <v>#DIV/0!</v>
      </c>
    </row>
    <row r="483" spans="1:4">
      <c r="A483" s="5" t="str">
        <f>'Validation List'!AG11</f>
        <v>.</v>
      </c>
      <c r="B483" s="3">
        <f>COUNTIFS(Table2[How comfortable is your centre? ],Condition_1,Table2[Your participation in the wider community outside your centre? ],A483)</f>
        <v>0</v>
      </c>
      <c r="C483" s="3" t="e">
        <f t="shared" ref="C483:C486" si="60">B483/No_who_answered_survey*100</f>
        <v>#DIV/0!</v>
      </c>
      <c r="D483" s="10" t="e">
        <f>B483/(No_who_answered_survey-COUNTIFS(Table2[How comfortable is your centre? ],Condition_1,Table2[Your participation in the wider community outside your centre? ],"Not answered"))*100</f>
        <v>#DIV/0!</v>
      </c>
    </row>
    <row r="484" spans="1:4">
      <c r="A484" s="5" t="str">
        <f>'Validation List'!AG12</f>
        <v>.</v>
      </c>
      <c r="B484" s="3">
        <f>COUNTIFS(Table2[How comfortable is your centre? ],Condition_1,Table2[Your participation in the wider community outside your centre? ],A484)</f>
        <v>0</v>
      </c>
      <c r="C484" s="3" t="e">
        <f t="shared" si="60"/>
        <v>#DIV/0!</v>
      </c>
      <c r="D484" s="10" t="e">
        <f>B484/(No_who_answered_survey-COUNTIFS(Table2[How comfortable is your centre? ],Condition_1,Table2[Your participation in the wider community outside your centre? ],"Not answered"))*100</f>
        <v>#DIV/0!</v>
      </c>
    </row>
    <row r="485" spans="1:4">
      <c r="A485" s="5" t="str">
        <f>'Validation List'!AG13</f>
        <v>.</v>
      </c>
      <c r="B485" s="3">
        <f>COUNTIFS(Table2[How comfortable is your centre? ],Condition_1,Table2[Your participation in the wider community outside your centre? ],A485)</f>
        <v>0</v>
      </c>
      <c r="C485" s="3" t="e">
        <f t="shared" si="60"/>
        <v>#DIV/0!</v>
      </c>
      <c r="D485" s="10" t="e">
        <f>B485/(No_who_answered_survey-COUNTIFS(Table2[How comfortable is your centre? ],Condition_1,Table2[Your participation in the wider community outside your centre? ],"Not answered"))*100</f>
        <v>#DIV/0!</v>
      </c>
    </row>
    <row r="486" spans="1:4">
      <c r="A486" s="5" t="str">
        <f>'Validation List'!AG14</f>
        <v>.</v>
      </c>
      <c r="B486" s="3">
        <f>COUNTIFS(Table2[How comfortable is your centre? ],Condition_1,Table2[Your participation in the wider community outside your centre? ],A486)</f>
        <v>0</v>
      </c>
      <c r="C486" s="3" t="e">
        <f t="shared" si="60"/>
        <v>#DIV/0!</v>
      </c>
      <c r="D486" s="10" t="e">
        <f>B486/(No_who_answered_survey-COUNTIFS(Table2[How comfortable is your centre? ],Condition_1,Table2[Your participation in the wider community outside your centre? ],"Not answered"))*100</f>
        <v>#DIV/0!</v>
      </c>
    </row>
    <row r="487" spans="1:4">
      <c r="A487" s="5" t="str">
        <f>'Validation List'!AG15</f>
        <v>Not answered</v>
      </c>
      <c r="B487" s="3">
        <f>COUNTIFS(Table2[How comfortable is your centre? ],Condition_1,Table2[Your participation in the wider community outside your centre? ],A487)</f>
        <v>0</v>
      </c>
      <c r="C487" s="3" t="e">
        <f t="shared" si="59"/>
        <v>#DIV/0!</v>
      </c>
      <c r="D487" s="10"/>
    </row>
    <row r="488" spans="1:4">
      <c r="A488" s="5" t="s">
        <v>39</v>
      </c>
      <c r="B488" s="3">
        <f>SUM(B478:B487)</f>
        <v>0</v>
      </c>
      <c r="C488" s="3" t="e">
        <f>SUM(C478:C487)</f>
        <v>#DIV/0!</v>
      </c>
      <c r="D488" s="10" t="e">
        <f>SUM(D478:D487)</f>
        <v>#DIV/0!</v>
      </c>
    </row>
    <row r="491" spans="1:4">
      <c r="A491" s="58" t="str">
        <f>'Validation List'!AH3</f>
        <v>Have you a Personal plan?</v>
      </c>
      <c r="B491" s="59"/>
      <c r="C491" s="59"/>
      <c r="D491" s="60"/>
    </row>
    <row r="492" spans="1:4">
      <c r="A492" s="5"/>
      <c r="B492" s="3" t="s">
        <v>37</v>
      </c>
      <c r="C492" s="3" t="s">
        <v>38</v>
      </c>
      <c r="D492" s="10" t="s">
        <v>40</v>
      </c>
    </row>
    <row r="493" spans="1:4">
      <c r="A493" s="5" t="str">
        <f>'Validation List'!AH6</f>
        <v>Yes</v>
      </c>
      <c r="B493" s="3">
        <f>COUNTIFS(Table2[How comfortable is your centre? ],Condition_1,Table2[Have you a Personal Plan?],A493)</f>
        <v>0</v>
      </c>
      <c r="C493" s="3" t="e">
        <f t="shared" ref="C493:C502" si="61">B493/No_who_answered_survey*100</f>
        <v>#DIV/0!</v>
      </c>
      <c r="D493" s="10" t="e">
        <f>B493/(No_who_answered_survey-COUNTIFS(Table2[How comfortable is your centre? ],Condition_1,Table2[Have you a Personal Plan?],"Not answered"))*100</f>
        <v>#DIV/0!</v>
      </c>
    </row>
    <row r="494" spans="1:4">
      <c r="A494" s="5" t="str">
        <f>'Validation List'!AH7</f>
        <v>No</v>
      </c>
      <c r="B494" s="3">
        <f>COUNTIFS(Table2[How comfortable is your centre? ],Condition_1,Table2[Have you a Personal Plan?],A494)</f>
        <v>0</v>
      </c>
      <c r="C494" s="3" t="e">
        <f t="shared" si="61"/>
        <v>#DIV/0!</v>
      </c>
      <c r="D494" s="10" t="e">
        <f>B494/(No_who_answered_survey-COUNTIFS(Table2[How comfortable is your centre? ],Condition_1,Table2[Have you a Personal Plan?],"Not answered"))*100</f>
        <v>#DIV/0!</v>
      </c>
    </row>
    <row r="495" spans="1:4">
      <c r="A495" s="5" t="str">
        <f>'Validation List'!AH8</f>
        <v>I don't know</v>
      </c>
      <c r="B495" s="3">
        <f>COUNTIFS(Table2[How comfortable is your centre? ],Condition_1,Table2[Have you a Personal Plan?],A495)</f>
        <v>0</v>
      </c>
      <c r="C495" s="3" t="e">
        <f t="shared" si="61"/>
        <v>#DIV/0!</v>
      </c>
      <c r="D495" s="10" t="e">
        <f>B495/(No_who_answered_survey-COUNTIFS(Table2[How comfortable is your centre? ],Condition_1,Table2[Have you a Personal Plan?],"Not answered"))*100</f>
        <v>#DIV/0!</v>
      </c>
    </row>
    <row r="496" spans="1:4">
      <c r="A496" s="5" t="str">
        <f>'Validation List'!AH9</f>
        <v>.</v>
      </c>
      <c r="B496" s="3">
        <f>COUNTIFS(Table2[How comfortable is your centre? ],Condition_1,Table2[Have you a Personal Plan?],A496)</f>
        <v>0</v>
      </c>
      <c r="C496" s="3" t="e">
        <f t="shared" si="61"/>
        <v>#DIV/0!</v>
      </c>
      <c r="D496" s="10" t="e">
        <f>B496/(No_who_answered_survey-COUNTIFS(Table2[How comfortable is your centre? ],Condition_1,Table2[Have you a Personal Plan?],"Not answered"))*100</f>
        <v>#DIV/0!</v>
      </c>
    </row>
    <row r="497" spans="1:4">
      <c r="A497" s="5" t="str">
        <f>'Validation List'!AH10</f>
        <v>.</v>
      </c>
      <c r="B497" s="3">
        <f>COUNTIFS(Table2[How comfortable is your centre? ],Condition_1,Table2[Have you a Personal Plan?],A497)</f>
        <v>0</v>
      </c>
      <c r="C497" s="3" t="e">
        <f t="shared" si="61"/>
        <v>#DIV/0!</v>
      </c>
      <c r="D497" s="10" t="e">
        <f>B497/(No_who_answered_survey-COUNTIFS(Table2[How comfortable is your centre? ],Condition_1,Table2[Have you a Personal Plan?],"Not answered"))*100</f>
        <v>#DIV/0!</v>
      </c>
    </row>
    <row r="498" spans="1:4">
      <c r="A498" s="5" t="str">
        <f>'Validation List'!AH11</f>
        <v>.</v>
      </c>
      <c r="B498" s="3">
        <f>COUNTIFS(Table2[How comfortable is your centre? ],Condition_1,Table2[Have you a Personal Plan?],A498)</f>
        <v>0</v>
      </c>
      <c r="C498" s="3" t="e">
        <f t="shared" ref="C498:C501" si="62">B498/No_who_answered_survey*100</f>
        <v>#DIV/0!</v>
      </c>
      <c r="D498" s="10" t="e">
        <f>B498/(No_who_answered_survey-COUNTIFS(Table2[How comfortable is your centre? ],Condition_1,Table2[Have you a Personal Plan?],"Not answered"))*100</f>
        <v>#DIV/0!</v>
      </c>
    </row>
    <row r="499" spans="1:4">
      <c r="A499" s="5" t="str">
        <f>'Validation List'!AH12</f>
        <v>.</v>
      </c>
      <c r="B499" s="3">
        <f>COUNTIFS(Table2[How comfortable is your centre? ],Condition_1,Table2[Have you a Personal Plan?],A499)</f>
        <v>0</v>
      </c>
      <c r="C499" s="3" t="e">
        <f t="shared" si="62"/>
        <v>#DIV/0!</v>
      </c>
      <c r="D499" s="10" t="e">
        <f>B499/(No_who_answered_survey-COUNTIFS(Table2[How comfortable is your centre? ],Condition_1,Table2[Have you a Personal Plan?],"Not answered"))*100</f>
        <v>#DIV/0!</v>
      </c>
    </row>
    <row r="500" spans="1:4">
      <c r="A500" s="5" t="str">
        <f>'Validation List'!AH13</f>
        <v>.</v>
      </c>
      <c r="B500" s="3">
        <f>COUNTIFS(Table2[How comfortable is your centre? ],Condition_1,Table2[Have you a Personal Plan?],A500)</f>
        <v>0</v>
      </c>
      <c r="C500" s="3" t="e">
        <f t="shared" si="62"/>
        <v>#DIV/0!</v>
      </c>
      <c r="D500" s="10" t="e">
        <f>B500/(No_who_answered_survey-COUNTIFS(Table2[How comfortable is your centre? ],Condition_1,Table2[Have you a Personal Plan?],"Not answered"))*100</f>
        <v>#DIV/0!</v>
      </c>
    </row>
    <row r="501" spans="1:4">
      <c r="A501" s="5" t="str">
        <f>'Validation List'!AH14</f>
        <v>.</v>
      </c>
      <c r="B501" s="3">
        <f>COUNTIFS(Table2[How comfortable is your centre? ],Condition_1,Table2[Have you a Personal Plan?],A501)</f>
        <v>0</v>
      </c>
      <c r="C501" s="3" t="e">
        <f t="shared" si="62"/>
        <v>#DIV/0!</v>
      </c>
      <c r="D501" s="10" t="e">
        <f>B501/(No_who_answered_survey-COUNTIFS(Table2[How comfortable is your centre? ],Condition_1,Table2[Have you a Personal Plan?],"Not answered"))*100</f>
        <v>#DIV/0!</v>
      </c>
    </row>
    <row r="502" spans="1:4">
      <c r="A502" s="5" t="str">
        <f>'Validation List'!AH15</f>
        <v>Not answered</v>
      </c>
      <c r="B502" s="3">
        <f>COUNTIFS(Table2[How comfortable is your centre? ],Condition_1,Table2[Have you a Personal Plan?],A502)</f>
        <v>0</v>
      </c>
      <c r="C502" s="3" t="e">
        <f t="shared" si="61"/>
        <v>#DIV/0!</v>
      </c>
      <c r="D502" s="10"/>
    </row>
    <row r="503" spans="1:4">
      <c r="A503" s="5" t="s">
        <v>39</v>
      </c>
      <c r="B503" s="3">
        <f>SUM(B493:B502)</f>
        <v>0</v>
      </c>
      <c r="C503" s="3" t="e">
        <f>SUM(C493:C502)</f>
        <v>#DIV/0!</v>
      </c>
      <c r="D503" s="10" t="e">
        <f>SUM(D493:D502)</f>
        <v>#DIV/0!</v>
      </c>
    </row>
    <row r="506" spans="1:4">
      <c r="A506" s="58" t="str">
        <f>'Validation List'!AI3</f>
        <v>Are easy to talk to?</v>
      </c>
      <c r="B506" s="59"/>
      <c r="C506" s="59"/>
      <c r="D506" s="60"/>
    </row>
    <row r="507" spans="1:4">
      <c r="A507" s="5"/>
      <c r="B507" s="3" t="s">
        <v>37</v>
      </c>
      <c r="C507" s="3" t="s">
        <v>38</v>
      </c>
      <c r="D507" s="10" t="s">
        <v>40</v>
      </c>
    </row>
    <row r="508" spans="1:4">
      <c r="A508" s="5" t="str">
        <f>'Validation List'!AI6</f>
        <v>Happy</v>
      </c>
      <c r="B508" s="3">
        <f>COUNTIFS(Table2[How comfortable is your centre? ],Condition_1,Table2[Are easy to talk to?],A508)</f>
        <v>0</v>
      </c>
      <c r="C508" s="3" t="e">
        <f t="shared" ref="C508:C517" si="63">B508/No_who_answered_survey*100</f>
        <v>#DIV/0!</v>
      </c>
      <c r="D508" s="10" t="e">
        <f>B508/(No_who_answered_survey-COUNTIFS(Table2[How comfortable is your centre? ],Condition_1,Table2[Are easy to talk to?],"Not answered"))*100</f>
        <v>#DIV/0!</v>
      </c>
    </row>
    <row r="509" spans="1:4">
      <c r="A509" s="5" t="str">
        <f>'Validation List'!AI7</f>
        <v>Neutral</v>
      </c>
      <c r="B509" s="3">
        <f>COUNTIFS(Table2[How comfortable is your centre? ],Condition_1,Table2[Are easy to talk to?],A509)</f>
        <v>0</v>
      </c>
      <c r="C509" s="3" t="e">
        <f t="shared" si="63"/>
        <v>#DIV/0!</v>
      </c>
      <c r="D509" s="10" t="e">
        <f>B509/(No_who_answered_survey-COUNTIFS(Table2[How comfortable is your centre? ],Condition_1,Table2[Are easy to talk to?],"Not answered"))*100</f>
        <v>#DIV/0!</v>
      </c>
    </row>
    <row r="510" spans="1:4">
      <c r="A510" s="5" t="str">
        <f>'Validation List'!AI8</f>
        <v>Unhappy</v>
      </c>
      <c r="B510" s="3">
        <f>COUNTIFS(Table2[How comfortable is your centre? ],Condition_1,Table2[Are easy to talk to?],A510)</f>
        <v>0</v>
      </c>
      <c r="C510" s="3" t="e">
        <f t="shared" si="63"/>
        <v>#DIV/0!</v>
      </c>
      <c r="D510" s="10" t="e">
        <f>B510/(No_who_answered_survey-COUNTIFS(Table2[How comfortable is your centre? ],Condition_1,Table2[Are easy to talk to?],"Not answered"))*100</f>
        <v>#DIV/0!</v>
      </c>
    </row>
    <row r="511" spans="1:4">
      <c r="A511" s="5" t="str">
        <f>'Validation List'!AI9</f>
        <v>.</v>
      </c>
      <c r="B511" s="3">
        <f>COUNTIFS(Table2[How comfortable is your centre? ],Condition_1,Table2[Are easy to talk to?],A511)</f>
        <v>0</v>
      </c>
      <c r="C511" s="3" t="e">
        <f t="shared" si="63"/>
        <v>#DIV/0!</v>
      </c>
      <c r="D511" s="10" t="e">
        <f>B511/(No_who_answered_survey-COUNTIFS(Table2[How comfortable is your centre? ],Condition_1,Table2[Are easy to talk to?],"Not answered"))*100</f>
        <v>#DIV/0!</v>
      </c>
    </row>
    <row r="512" spans="1:4">
      <c r="A512" s="5" t="str">
        <f>'Validation List'!AI10</f>
        <v>.</v>
      </c>
      <c r="B512" s="3">
        <f>COUNTIFS(Table2[How comfortable is your centre? ],Condition_1,Table2[Are easy to talk to?],A512)</f>
        <v>0</v>
      </c>
      <c r="C512" s="3" t="e">
        <f t="shared" si="63"/>
        <v>#DIV/0!</v>
      </c>
      <c r="D512" s="10">
        <f>B512/(No_in_Audit-COUNTIF(Table2[Are easy to talk to?],"Not answered"))*100</f>
        <v>0</v>
      </c>
    </row>
    <row r="513" spans="1:4">
      <c r="A513" s="5" t="str">
        <f>'Validation List'!AI11</f>
        <v>.</v>
      </c>
      <c r="B513" s="3">
        <f>COUNTIFS(Table2[How comfortable is your centre? ],Condition_1,Table2[Are easy to talk to?],A513)</f>
        <v>0</v>
      </c>
      <c r="C513" s="3" t="e">
        <f t="shared" ref="C513:C516" si="64">B513/No_who_answered_survey*100</f>
        <v>#DIV/0!</v>
      </c>
      <c r="D513" s="10" t="e">
        <f>B513/(No_who_answered_survey-COUNTIFS(Table2[How comfortable is your centre? ],Condition_1,Table2[Are easy to talk to?],"Not answered"))*100</f>
        <v>#DIV/0!</v>
      </c>
    </row>
    <row r="514" spans="1:4">
      <c r="A514" s="5" t="str">
        <f>'Validation List'!AI12</f>
        <v>.</v>
      </c>
      <c r="B514" s="3">
        <f>COUNTIFS(Table2[How comfortable is your centre? ],Condition_1,Table2[Are easy to talk to?],A514)</f>
        <v>0</v>
      </c>
      <c r="C514" s="3" t="e">
        <f t="shared" si="64"/>
        <v>#DIV/0!</v>
      </c>
      <c r="D514" s="10" t="e">
        <f>B514/(No_who_answered_survey-COUNTIFS(Table2[How comfortable is your centre? ],Condition_1,Table2[Are easy to talk to?],"Not answered"))*100</f>
        <v>#DIV/0!</v>
      </c>
    </row>
    <row r="515" spans="1:4">
      <c r="A515" s="5" t="str">
        <f>'Validation List'!AI13</f>
        <v>.</v>
      </c>
      <c r="B515" s="3">
        <f>COUNTIFS(Table2[How comfortable is your centre? ],Condition_1,Table2[Are easy to talk to?],A515)</f>
        <v>0</v>
      </c>
      <c r="C515" s="3" t="e">
        <f t="shared" si="64"/>
        <v>#DIV/0!</v>
      </c>
      <c r="D515" s="10" t="e">
        <f>B515/(No_who_answered_survey-COUNTIFS(Table2[How comfortable is your centre? ],Condition_1,Table2[Are easy to talk to?],"Not answered"))*100</f>
        <v>#DIV/0!</v>
      </c>
    </row>
    <row r="516" spans="1:4">
      <c r="A516" s="5" t="str">
        <f>'Validation List'!AI14</f>
        <v>.</v>
      </c>
      <c r="B516" s="3">
        <f>COUNTIFS(Table2[How comfortable is your centre? ],Condition_1,Table2[Are easy to talk to?],A516)</f>
        <v>0</v>
      </c>
      <c r="C516" s="3" t="e">
        <f t="shared" si="64"/>
        <v>#DIV/0!</v>
      </c>
      <c r="D516" s="10" t="e">
        <f>B516/(No_who_answered_survey-COUNTIFS(Table2[How comfortable is your centre? ],Condition_1,Table2[Are easy to talk to?],"Not answered"))*100</f>
        <v>#DIV/0!</v>
      </c>
    </row>
    <row r="517" spans="1:4">
      <c r="A517" s="5" t="str">
        <f>'Validation List'!AI15</f>
        <v>Not answered</v>
      </c>
      <c r="B517" s="3">
        <f>COUNTIFS(Table2[How comfortable is your centre? ],Condition_1,Table2[Are easy to talk to?],A517)</f>
        <v>0</v>
      </c>
      <c r="C517" s="3" t="e">
        <f t="shared" si="63"/>
        <v>#DIV/0!</v>
      </c>
      <c r="D517" s="10"/>
    </row>
    <row r="518" spans="1:4">
      <c r="A518" s="5" t="s">
        <v>39</v>
      </c>
      <c r="B518" s="3">
        <f>SUM(B508:B517)</f>
        <v>0</v>
      </c>
      <c r="C518" s="3" t="e">
        <f>SUM(C508:C517)</f>
        <v>#DIV/0!</v>
      </c>
      <c r="D518" s="10" t="e">
        <f>SUM(D508:D517)</f>
        <v>#DIV/0!</v>
      </c>
    </row>
    <row r="519" spans="1:4">
      <c r="A519" s="2"/>
      <c r="B519" s="8"/>
      <c r="C519" s="8"/>
      <c r="D519" s="11"/>
    </row>
    <row r="520" spans="1:4">
      <c r="A520" s="2"/>
      <c r="B520" s="8"/>
      <c r="C520" s="8"/>
      <c r="D520" s="11"/>
    </row>
    <row r="521" spans="1:4">
      <c r="A521" s="58" t="str">
        <f>'Validation List'!AJ3</f>
        <v>Listen to you?</v>
      </c>
      <c r="B521" s="59"/>
      <c r="C521" s="59"/>
      <c r="D521" s="60"/>
    </row>
    <row r="522" spans="1:4">
      <c r="A522" s="5"/>
      <c r="B522" s="3" t="s">
        <v>37</v>
      </c>
      <c r="C522" s="3" t="s">
        <v>38</v>
      </c>
      <c r="D522" s="10" t="s">
        <v>40</v>
      </c>
    </row>
    <row r="523" spans="1:4">
      <c r="A523" s="5" t="str">
        <f>'Validation List'!AJ6</f>
        <v>Happy</v>
      </c>
      <c r="B523" s="3">
        <f>COUNTIFS(Table2[How comfortable is your centre? ],Condition_1,Table2[Listen to you?],A523)</f>
        <v>0</v>
      </c>
      <c r="C523" s="3" t="e">
        <f t="shared" ref="C523:C532" si="65">B523/No_who_answered_survey*100</f>
        <v>#DIV/0!</v>
      </c>
      <c r="D523" s="10" t="e">
        <f>B523/(No_who_answered_survey-COUNTIFS(Table2[How comfortable is your centre? ],Condition_1,Table2[Listen to you?],"Not answered"))*100</f>
        <v>#DIV/0!</v>
      </c>
    </row>
    <row r="524" spans="1:4">
      <c r="A524" s="5" t="str">
        <f>'Validation List'!AJ7</f>
        <v>Neutral</v>
      </c>
      <c r="B524" s="3">
        <f>COUNTIFS(Table2[How comfortable is your centre? ],Condition_1,Table2[Listen to you?],A524)</f>
        <v>0</v>
      </c>
      <c r="C524" s="3" t="e">
        <f t="shared" si="65"/>
        <v>#DIV/0!</v>
      </c>
      <c r="D524" s="10" t="e">
        <f>B524/(No_who_answered_survey-COUNTIFS(Table2[How comfortable is your centre? ],Condition_1,Table2[Listen to you?],"Not answered"))*100</f>
        <v>#DIV/0!</v>
      </c>
    </row>
    <row r="525" spans="1:4">
      <c r="A525" s="5" t="str">
        <f>'Validation List'!AJ8</f>
        <v>Unhappy</v>
      </c>
      <c r="B525" s="3">
        <f>COUNTIFS(Table2[How comfortable is your centre? ],Condition_1,Table2[Listen to you?],A525)</f>
        <v>0</v>
      </c>
      <c r="C525" s="3" t="e">
        <f t="shared" si="65"/>
        <v>#DIV/0!</v>
      </c>
      <c r="D525" s="10" t="e">
        <f>B525/(No_who_answered_survey-COUNTIFS(Table2[How comfortable is your centre? ],Condition_1,Table2[Listen to you?],"Not answered"))*100</f>
        <v>#DIV/0!</v>
      </c>
    </row>
    <row r="526" spans="1:4">
      <c r="A526" s="5" t="str">
        <f>'Validation List'!AJ9</f>
        <v>.</v>
      </c>
      <c r="B526" s="3">
        <f>COUNTIFS(Table2[How comfortable is your centre? ],Condition_1,Table2[Listen to you?],A526)</f>
        <v>0</v>
      </c>
      <c r="C526" s="3" t="e">
        <f t="shared" si="65"/>
        <v>#DIV/0!</v>
      </c>
      <c r="D526" s="10" t="e">
        <f>B526/(No_who_answered_survey-COUNTIFS(Table2[How comfortable is your centre? ],Condition_1,Table2[Listen to you?],"Not answered"))*100</f>
        <v>#DIV/0!</v>
      </c>
    </row>
    <row r="527" spans="1:4">
      <c r="A527" s="5" t="str">
        <f>'Validation List'!AJ10</f>
        <v>.</v>
      </c>
      <c r="B527" s="3">
        <f>COUNTIFS(Table2[How comfortable is your centre? ],Condition_1,Table2[Listen to you?],A527)</f>
        <v>0</v>
      </c>
      <c r="C527" s="3" t="e">
        <f t="shared" si="65"/>
        <v>#DIV/0!</v>
      </c>
      <c r="D527" s="10" t="e">
        <f>B527/(No_who_answered_survey-COUNTIFS(Table2[How comfortable is your centre? ],Condition_1,Table2[Listen to you?],"Not answered"))*100</f>
        <v>#DIV/0!</v>
      </c>
    </row>
    <row r="528" spans="1:4">
      <c r="A528" s="5" t="str">
        <f>'Validation List'!AJ11</f>
        <v>.</v>
      </c>
      <c r="B528" s="3">
        <f>COUNTIFS(Table2[How comfortable is your centre? ],Condition_1,Table2[Listen to you?],A528)</f>
        <v>0</v>
      </c>
      <c r="C528" s="3" t="e">
        <f t="shared" ref="C528:C531" si="66">B528/No_who_answered_survey*100</f>
        <v>#DIV/0!</v>
      </c>
      <c r="D528" s="10" t="e">
        <f>B528/(No_who_answered_survey-COUNTIFS(Table2[How comfortable is your centre? ],Condition_1,Table2[Listen to you?],"Not answered"))*100</f>
        <v>#DIV/0!</v>
      </c>
    </row>
    <row r="529" spans="1:4">
      <c r="A529" s="5" t="str">
        <f>'Validation List'!AJ12</f>
        <v>.</v>
      </c>
      <c r="B529" s="3">
        <f>COUNTIFS(Table2[How comfortable is your centre? ],Condition_1,Table2[Listen to you?],A529)</f>
        <v>0</v>
      </c>
      <c r="C529" s="3" t="e">
        <f t="shared" si="66"/>
        <v>#DIV/0!</v>
      </c>
      <c r="D529" s="10" t="e">
        <f>B529/(No_who_answered_survey-COUNTIFS(Table2[How comfortable is your centre? ],Condition_1,Table2[Listen to you?],"Not answered"))*100</f>
        <v>#DIV/0!</v>
      </c>
    </row>
    <row r="530" spans="1:4">
      <c r="A530" s="5" t="str">
        <f>'Validation List'!AJ13</f>
        <v>.</v>
      </c>
      <c r="B530" s="3">
        <f>COUNTIFS(Table2[How comfortable is your centre? ],Condition_1,Table2[Listen to you?],A530)</f>
        <v>0</v>
      </c>
      <c r="C530" s="3" t="e">
        <f t="shared" si="66"/>
        <v>#DIV/0!</v>
      </c>
      <c r="D530" s="10" t="e">
        <f>B530/(No_who_answered_survey-COUNTIFS(Table2[How comfortable is your centre? ],Condition_1,Table2[Listen to you?],"Not answered"))*100</f>
        <v>#DIV/0!</v>
      </c>
    </row>
    <row r="531" spans="1:4">
      <c r="A531" s="5" t="str">
        <f>'Validation List'!AJ14</f>
        <v>.</v>
      </c>
      <c r="B531" s="3">
        <f>COUNTIFS(Table2[How comfortable is your centre? ],Condition_1,Table2[Listen to you?],A531)</f>
        <v>0</v>
      </c>
      <c r="C531" s="3" t="e">
        <f t="shared" si="66"/>
        <v>#DIV/0!</v>
      </c>
      <c r="D531" s="10" t="e">
        <f>B531/(No_who_answered_survey-COUNTIFS(Table2[How comfortable is your centre? ],Condition_1,Table2[Listen to you?],"Not answered"))*100</f>
        <v>#DIV/0!</v>
      </c>
    </row>
    <row r="532" spans="1:4">
      <c r="A532" s="5" t="str">
        <f>'Validation List'!AJ15</f>
        <v>Not answered</v>
      </c>
      <c r="B532" s="3">
        <f>COUNTIFS(Table2[How comfortable is your centre? ],Condition_1,Table2[Listen to you?],A532)</f>
        <v>0</v>
      </c>
      <c r="C532" s="3" t="e">
        <f t="shared" si="65"/>
        <v>#DIV/0!</v>
      </c>
      <c r="D532" s="10"/>
    </row>
    <row r="533" spans="1:4">
      <c r="A533" s="5" t="s">
        <v>39</v>
      </c>
      <c r="B533" s="3">
        <f>SUM(B523:B532)</f>
        <v>0</v>
      </c>
      <c r="C533" s="3" t="e">
        <f>SUM(C523:C532)</f>
        <v>#DIV/0!</v>
      </c>
      <c r="D533" s="10" t="e">
        <f>SUM(D523:D527)</f>
        <v>#DIV/0!</v>
      </c>
    </row>
    <row r="534" spans="1:4">
      <c r="A534" s="2"/>
      <c r="B534" s="8"/>
      <c r="C534" s="8"/>
      <c r="D534" s="11"/>
    </row>
    <row r="535" spans="1:4">
      <c r="A535" s="2"/>
      <c r="B535" s="8"/>
      <c r="C535" s="8"/>
      <c r="D535" s="11"/>
    </row>
    <row r="536" spans="1:4">
      <c r="A536" s="58" t="str">
        <f>'Validation List'!AK3</f>
        <v>Know your likes and dislikes?</v>
      </c>
      <c r="B536" s="59"/>
      <c r="C536" s="59"/>
      <c r="D536" s="60"/>
    </row>
    <row r="537" spans="1:4">
      <c r="A537" s="5"/>
      <c r="B537" s="3" t="s">
        <v>37</v>
      </c>
      <c r="C537" s="3" t="s">
        <v>38</v>
      </c>
      <c r="D537" s="10" t="s">
        <v>40</v>
      </c>
    </row>
    <row r="538" spans="1:4">
      <c r="A538" s="5" t="str">
        <f>'Validation List'!AK6</f>
        <v>Happy</v>
      </c>
      <c r="B538" s="3">
        <f>COUNTIFS(Table2[How comfortable is your centre? ],Condition_1,Table2[Know your likes and dislikes?],A538)</f>
        <v>0</v>
      </c>
      <c r="C538" s="3" t="e">
        <f t="shared" ref="C538:C547" si="67">B538/No_who_answered_survey*100</f>
        <v>#DIV/0!</v>
      </c>
      <c r="D538" s="10" t="e">
        <f>B538/(No_who_answered_survey-COUNTIFS(Table2[How comfortable is your centre? ],Condition_1,Table2[Know your likes and dislikes?],"Not answered"))*100</f>
        <v>#DIV/0!</v>
      </c>
    </row>
    <row r="539" spans="1:4">
      <c r="A539" s="5" t="str">
        <f>'Validation List'!AK7</f>
        <v>Neutral</v>
      </c>
      <c r="B539" s="3">
        <f>COUNTIFS(Table2[How comfortable is your centre? ],Condition_1,Table2[Know your likes and dislikes?],A539)</f>
        <v>0</v>
      </c>
      <c r="C539" s="3" t="e">
        <f t="shared" si="67"/>
        <v>#DIV/0!</v>
      </c>
      <c r="D539" s="10" t="e">
        <f>B539/(No_who_answered_survey-COUNTIFS(Table2[How comfortable is your centre? ],Condition_1,Table2[Know your likes and dislikes?],"Not answered"))*100</f>
        <v>#DIV/0!</v>
      </c>
    </row>
    <row r="540" spans="1:4">
      <c r="A540" s="5" t="str">
        <f>'Validation List'!AK8</f>
        <v>Unhappy</v>
      </c>
      <c r="B540" s="3">
        <f>COUNTIFS(Table2[How comfortable is your centre? ],Condition_1,Table2[Know your likes and dislikes?],A540)</f>
        <v>0</v>
      </c>
      <c r="C540" s="3" t="e">
        <f t="shared" si="67"/>
        <v>#DIV/0!</v>
      </c>
      <c r="D540" s="10" t="e">
        <f>B540/(No_who_answered_survey-COUNTIFS(Table2[How comfortable is your centre? ],Condition_1,Table2[Know your likes and dislikes?],"Not answered"))*100</f>
        <v>#DIV/0!</v>
      </c>
    </row>
    <row r="541" spans="1:4">
      <c r="A541" s="5" t="str">
        <f>'Validation List'!AK9</f>
        <v>.</v>
      </c>
      <c r="B541" s="3">
        <f>COUNTIFS(Table2[How comfortable is your centre? ],Condition_1,Table2[Know your likes and dislikes?],A541)</f>
        <v>0</v>
      </c>
      <c r="C541" s="3" t="e">
        <f t="shared" si="67"/>
        <v>#DIV/0!</v>
      </c>
      <c r="D541" s="10" t="e">
        <f>B541/(No_who_answered_survey-COUNTIFS(Table2[How comfortable is your centre? ],Condition_1,Table2[Know your likes and dislikes?],"Not answered"))*100</f>
        <v>#DIV/0!</v>
      </c>
    </row>
    <row r="542" spans="1:4">
      <c r="A542" s="5" t="str">
        <f>'Validation List'!AK10</f>
        <v>.</v>
      </c>
      <c r="B542" s="3">
        <f>COUNTIFS(Table2[How comfortable is your centre? ],Condition_1,Table2[Know your likes and dislikes?],A542)</f>
        <v>0</v>
      </c>
      <c r="C542" s="3" t="e">
        <f t="shared" si="67"/>
        <v>#DIV/0!</v>
      </c>
      <c r="D542" s="10" t="e">
        <f>B542/(No_who_answered_survey-COUNTIFS(Table2[How comfortable is your centre? ],Condition_1,Table2[Know your likes and dislikes?],"Not answered"))*100</f>
        <v>#DIV/0!</v>
      </c>
    </row>
    <row r="543" spans="1:4">
      <c r="A543" s="5" t="str">
        <f>'Validation List'!AK11</f>
        <v>.</v>
      </c>
      <c r="B543" s="3">
        <f>COUNTIFS(Table2[How comfortable is your centre? ],Condition_1,Table2[Know your likes and dislikes?],A543)</f>
        <v>0</v>
      </c>
      <c r="C543" s="3" t="e">
        <f t="shared" ref="C543:C546" si="68">B543/No_who_answered_survey*100</f>
        <v>#DIV/0!</v>
      </c>
      <c r="D543" s="10" t="e">
        <f>B543/(No_who_answered_survey-COUNTIFS(Table2[How comfortable is your centre? ],Condition_1,Table2[Know your likes and dislikes?],"Not answered"))*100</f>
        <v>#DIV/0!</v>
      </c>
    </row>
    <row r="544" spans="1:4">
      <c r="A544" s="5" t="str">
        <f>'Validation List'!AK12</f>
        <v>.</v>
      </c>
      <c r="B544" s="3">
        <f>COUNTIFS(Table2[How comfortable is your centre? ],Condition_1,Table2[Know your likes and dislikes?],A544)</f>
        <v>0</v>
      </c>
      <c r="C544" s="3" t="e">
        <f t="shared" si="68"/>
        <v>#DIV/0!</v>
      </c>
      <c r="D544" s="10" t="e">
        <f>B544/(No_who_answered_survey-COUNTIFS(Table2[How comfortable is your centre? ],Condition_1,Table2[Know your likes and dislikes?],"Not answered"))*100</f>
        <v>#DIV/0!</v>
      </c>
    </row>
    <row r="545" spans="1:4">
      <c r="A545" s="5" t="str">
        <f>'Validation List'!AK13</f>
        <v>.</v>
      </c>
      <c r="B545" s="3">
        <f>COUNTIFS(Table2[How comfortable is your centre? ],Condition_1,Table2[Know your likes and dislikes?],A545)</f>
        <v>0</v>
      </c>
      <c r="C545" s="3" t="e">
        <f t="shared" si="68"/>
        <v>#DIV/0!</v>
      </c>
      <c r="D545" s="10" t="e">
        <f>B545/(No_who_answered_survey-COUNTIFS(Table2[How comfortable is your centre? ],Condition_1,Table2[Know your likes and dislikes?],"Not answered"))*100</f>
        <v>#DIV/0!</v>
      </c>
    </row>
    <row r="546" spans="1:4">
      <c r="A546" s="5" t="str">
        <f>'Validation List'!AK14</f>
        <v>.</v>
      </c>
      <c r="B546" s="3">
        <f>COUNTIFS(Table2[How comfortable is your centre? ],Condition_1,Table2[Know your likes and dislikes?],A546)</f>
        <v>0</v>
      </c>
      <c r="C546" s="3" t="e">
        <f t="shared" si="68"/>
        <v>#DIV/0!</v>
      </c>
      <c r="D546" s="10" t="e">
        <f>B546/(No_who_answered_survey-COUNTIFS(Table2[How comfortable is your centre? ],Condition_1,Table2[Know your likes and dislikes?],"Not answered"))*100</f>
        <v>#DIV/0!</v>
      </c>
    </row>
    <row r="547" spans="1:4">
      <c r="A547" s="5" t="str">
        <f>'Validation List'!AK15</f>
        <v>Not answered</v>
      </c>
      <c r="B547" s="3">
        <f>COUNTIFS(Table2[How comfortable is your centre? ],Condition_1,Table2[Know your likes and dislikes?],A547)</f>
        <v>0</v>
      </c>
      <c r="C547" s="3" t="e">
        <f t="shared" si="67"/>
        <v>#DIV/0!</v>
      </c>
      <c r="D547" s="10"/>
    </row>
    <row r="548" spans="1:4">
      <c r="A548" s="5" t="s">
        <v>39</v>
      </c>
      <c r="B548" s="3">
        <f>SUM(B538:B547)</f>
        <v>0</v>
      </c>
      <c r="C548" s="3" t="e">
        <f t="shared" ref="C548:D548" si="69">SUM(C538:C547)</f>
        <v>#DIV/0!</v>
      </c>
      <c r="D548" s="3" t="e">
        <f t="shared" si="69"/>
        <v>#DIV/0!</v>
      </c>
    </row>
    <row r="549" spans="1:4">
      <c r="A549" s="2"/>
      <c r="B549" s="8"/>
      <c r="C549" s="8"/>
      <c r="D549" s="11"/>
    </row>
    <row r="550" spans="1:4">
      <c r="A550" s="2"/>
      <c r="B550" s="8"/>
      <c r="C550" s="8"/>
      <c r="D550" s="11"/>
    </row>
    <row r="551" spans="1:4">
      <c r="A551" s="58" t="str">
        <f>'Validation List'!AL3</f>
        <v>Getting dressed?</v>
      </c>
      <c r="B551" s="59"/>
      <c r="C551" s="59"/>
      <c r="D551" s="60"/>
    </row>
    <row r="552" spans="1:4">
      <c r="A552" s="5"/>
      <c r="B552" s="3" t="s">
        <v>37</v>
      </c>
      <c r="C552" s="3" t="s">
        <v>38</v>
      </c>
      <c r="D552" s="10" t="s">
        <v>40</v>
      </c>
    </row>
    <row r="553" spans="1:4">
      <c r="A553" s="5" t="str">
        <f>'Validation List'!AL6</f>
        <v>Happy</v>
      </c>
      <c r="B553" s="3">
        <f>COUNTIFS(Table2[How comfortable is your centre? ],Condition_1,Table2[Getting dressed?],A553)</f>
        <v>0</v>
      </c>
      <c r="C553" s="3" t="e">
        <f t="shared" ref="C553:C562" si="70">B553/No_who_answered_survey*100</f>
        <v>#DIV/0!</v>
      </c>
      <c r="D553" s="10" t="e">
        <f>B553/(No_who_answered_survey-COUNTIFS(Table2[How comfortable is your centre? ],Condition_1,Table2[Getting dressed?],"Not answered"))*100</f>
        <v>#DIV/0!</v>
      </c>
    </row>
    <row r="554" spans="1:4">
      <c r="A554" s="5" t="str">
        <f>'Validation List'!AL7</f>
        <v>Neutral</v>
      </c>
      <c r="B554" s="3">
        <f>COUNTIFS(Table2[How comfortable is your centre? ],Condition_1,Table2[Getting dressed?],A554)</f>
        <v>0</v>
      </c>
      <c r="C554" s="3" t="e">
        <f t="shared" ref="C554:C558" si="71">B554/No_who_answered_survey*100</f>
        <v>#DIV/0!</v>
      </c>
      <c r="D554" s="10" t="e">
        <f>B554/(No_who_answered_survey-COUNTIFS(Table2[How comfortable is your centre? ],Condition_1,Table2[Getting dressed?],"Not answered"))*100</f>
        <v>#DIV/0!</v>
      </c>
    </row>
    <row r="555" spans="1:4">
      <c r="A555" s="5" t="str">
        <f>'Validation List'!AL8</f>
        <v>Unhappy</v>
      </c>
      <c r="B555" s="3">
        <f>COUNTIFS(Table2[How comfortable is your centre? ],Condition_1,Table2[Getting dressed?],A555)</f>
        <v>0</v>
      </c>
      <c r="C555" s="3" t="e">
        <f t="shared" si="71"/>
        <v>#DIV/0!</v>
      </c>
      <c r="D555" s="10" t="e">
        <f>B555/(No_who_answered_survey-COUNTIFS(Table2[How comfortable is your centre? ],Condition_1,Table2[Getting dressed?],"Not answered"))*100</f>
        <v>#DIV/0!</v>
      </c>
    </row>
    <row r="556" spans="1:4">
      <c r="A556" s="5" t="str">
        <f>'Validation List'!AL9</f>
        <v>I do not need support</v>
      </c>
      <c r="B556" s="3">
        <f>COUNTIFS(Table2[How comfortable is your centre? ],Condition_1,Table2[Getting dressed?],A556)</f>
        <v>0</v>
      </c>
      <c r="C556" s="3" t="e">
        <f t="shared" si="71"/>
        <v>#DIV/0!</v>
      </c>
      <c r="D556" s="10" t="e">
        <f>B556/(No_who_answered_survey-COUNTIFS(Table2[How comfortable is your centre? ],Condition_1,Table2[Getting dressed?],"Not answered"))*100</f>
        <v>#DIV/0!</v>
      </c>
    </row>
    <row r="557" spans="1:4">
      <c r="A557" s="5" t="str">
        <f>'Validation List'!AL10</f>
        <v>.</v>
      </c>
      <c r="B557" s="3">
        <f>COUNTIFS(Table2[How comfortable is your centre? ],Condition_1,Table2[Getting dressed?],A557)</f>
        <v>0</v>
      </c>
      <c r="C557" s="3" t="e">
        <f t="shared" si="71"/>
        <v>#DIV/0!</v>
      </c>
      <c r="D557" s="10" t="e">
        <f>B557/(No_who_answered_survey-COUNTIFS(Table2[How comfortable is your centre? ],Condition_1,Table2[Getting dressed?],"Not answered"))*100</f>
        <v>#DIV/0!</v>
      </c>
    </row>
    <row r="558" spans="1:4">
      <c r="A558" s="5" t="str">
        <f>'Validation List'!AL11</f>
        <v>.</v>
      </c>
      <c r="B558" s="3">
        <f>COUNTIFS(Table2[How comfortable is your centre? ],Condition_1,Table2[Getting dressed?],A558)</f>
        <v>0</v>
      </c>
      <c r="C558" s="3" t="e">
        <f t="shared" si="71"/>
        <v>#DIV/0!</v>
      </c>
      <c r="D558" s="10" t="e">
        <f>B558/(No_who_answered_survey-COUNTIFS(Table2[How comfortable is your centre? ],Condition_1,Table2[Getting dressed?],"Not answered"))*100</f>
        <v>#DIV/0!</v>
      </c>
    </row>
    <row r="559" spans="1:4">
      <c r="A559" s="5" t="str">
        <f>'Validation List'!AL12</f>
        <v>.</v>
      </c>
      <c r="B559" s="3">
        <f>COUNTIFS(Table2[How comfortable is your centre? ],Condition_1,Table2[Getting dressed?],A559)</f>
        <v>0</v>
      </c>
      <c r="C559" s="3" t="e">
        <f t="shared" ref="C559:C561" si="72">B559/No_who_answered_survey*100</f>
        <v>#DIV/0!</v>
      </c>
      <c r="D559" s="10" t="e">
        <f>B559/(No_who_answered_survey-COUNTIFS(Table2[How comfortable is your centre? ],Condition_1,Table2[Getting dressed?],"Not answered"))*100</f>
        <v>#DIV/0!</v>
      </c>
    </row>
    <row r="560" spans="1:4">
      <c r="A560" s="5" t="str">
        <f>'Validation List'!AL13</f>
        <v>.</v>
      </c>
      <c r="B560" s="3">
        <f>COUNTIFS(Table2[How comfortable is your centre? ],Condition_1,Table2[Getting dressed?],A560)</f>
        <v>0</v>
      </c>
      <c r="C560" s="3" t="e">
        <f t="shared" si="72"/>
        <v>#DIV/0!</v>
      </c>
      <c r="D560" s="10" t="e">
        <f>B560/(No_who_answered_survey-COUNTIFS(Table2[How comfortable is your centre? ],Condition_1,Table2[Getting dressed?],"Not answered"))*100</f>
        <v>#DIV/0!</v>
      </c>
    </row>
    <row r="561" spans="1:4">
      <c r="A561" s="5" t="str">
        <f>'Validation List'!AL14</f>
        <v>.</v>
      </c>
      <c r="B561" s="3">
        <f>COUNTIFS(Table2[How comfortable is your centre? ],Condition_1,Table2[Getting dressed?],A561)</f>
        <v>0</v>
      </c>
      <c r="C561" s="3" t="e">
        <f t="shared" si="72"/>
        <v>#DIV/0!</v>
      </c>
      <c r="D561" s="10" t="e">
        <f>B561/(No_who_answered_survey-COUNTIFS(Table2[How comfortable is your centre? ],Condition_1,Table2[Getting dressed?],"Not answered"))*100</f>
        <v>#DIV/0!</v>
      </c>
    </row>
    <row r="562" spans="1:4">
      <c r="A562" s="5" t="str">
        <f>'Validation List'!AL15</f>
        <v>Not answered</v>
      </c>
      <c r="B562" s="3">
        <f>COUNTIFS(Table2[How comfortable is your centre? ],Condition_1,Table2[Getting dressed?],A562)</f>
        <v>0</v>
      </c>
      <c r="C562" s="3" t="e">
        <f t="shared" si="70"/>
        <v>#DIV/0!</v>
      </c>
      <c r="D562" s="10"/>
    </row>
    <row r="563" spans="1:4">
      <c r="A563" s="5" t="s">
        <v>39</v>
      </c>
      <c r="B563" s="3">
        <f>SUM(B553:B562)</f>
        <v>0</v>
      </c>
      <c r="C563" s="3" t="e">
        <f t="shared" ref="C563:D563" si="73">SUM(C553:C562)</f>
        <v>#DIV/0!</v>
      </c>
      <c r="D563" s="3" t="e">
        <f t="shared" si="73"/>
        <v>#DIV/0!</v>
      </c>
    </row>
    <row r="564" spans="1:4">
      <c r="A564" s="2"/>
      <c r="B564" s="8"/>
      <c r="C564" s="8"/>
      <c r="D564" s="11"/>
    </row>
    <row r="565" spans="1:4">
      <c r="A565" s="2"/>
      <c r="B565" s="8"/>
      <c r="C565" s="8"/>
      <c r="D565" s="11"/>
    </row>
    <row r="566" spans="1:4">
      <c r="A566" s="58" t="str">
        <f>'Validation List'!AM3</f>
        <v>Washing?</v>
      </c>
      <c r="B566" s="59"/>
      <c r="C566" s="59"/>
      <c r="D566" s="60"/>
    </row>
    <row r="567" spans="1:4">
      <c r="A567" s="5"/>
      <c r="B567" s="3" t="s">
        <v>37</v>
      </c>
      <c r="C567" s="3" t="s">
        <v>38</v>
      </c>
      <c r="D567" s="10" t="s">
        <v>40</v>
      </c>
    </row>
    <row r="568" spans="1:4">
      <c r="A568" s="5" t="str">
        <f>'Validation List'!AM6</f>
        <v>Happy</v>
      </c>
      <c r="B568" s="3">
        <f>COUNTIFS(Table2[How comfortable is your centre? ],Condition_1,Table2[Washing?],A568)</f>
        <v>0</v>
      </c>
      <c r="C568" s="3" t="e">
        <f t="shared" ref="C568:C577" si="74">B568/No_who_answered_survey*100</f>
        <v>#DIV/0!</v>
      </c>
      <c r="D568" s="10" t="e">
        <f>B568/(No_who_answered_survey-COUNTIFS(Table2[How comfortable is your centre? ],Condition_1,Table2[Washing?],"Not answered"))*100</f>
        <v>#DIV/0!</v>
      </c>
    </row>
    <row r="569" spans="1:4">
      <c r="A569" s="5" t="str">
        <f>'Validation List'!AM7</f>
        <v>Neutral</v>
      </c>
      <c r="B569" s="3">
        <f>COUNTIFS(Table2[How comfortable is your centre? ],Condition_1,Table2[Washing?],A569)</f>
        <v>0</v>
      </c>
      <c r="C569" s="3" t="e">
        <f t="shared" si="74"/>
        <v>#DIV/0!</v>
      </c>
      <c r="D569" s="10" t="e">
        <f>B569/(No_who_answered_survey-COUNTIFS(Table2[How comfortable is your centre? ],Condition_1,Table2[Washing?],"Not answered"))*100</f>
        <v>#DIV/0!</v>
      </c>
    </row>
    <row r="570" spans="1:4">
      <c r="A570" s="5" t="str">
        <f>'Validation List'!AM8</f>
        <v>Unhappy</v>
      </c>
      <c r="B570" s="3">
        <f>COUNTIFS(Table2[How comfortable is your centre? ],Condition_1,Table2[Washing?],A570)</f>
        <v>0</v>
      </c>
      <c r="C570" s="3" t="e">
        <f t="shared" si="74"/>
        <v>#DIV/0!</v>
      </c>
      <c r="D570" s="10" t="e">
        <f>B570/(No_who_answered_survey-COUNTIFS(Table2[How comfortable is your centre? ],Condition_1,Table2[Washing?],"Not answered"))*100</f>
        <v>#DIV/0!</v>
      </c>
    </row>
    <row r="571" spans="1:4">
      <c r="A571" s="5" t="str">
        <f>'Validation List'!AM9</f>
        <v>I do not need support</v>
      </c>
      <c r="B571" s="3">
        <f>COUNTIFS(Table2[How comfortable is your centre? ],Condition_1,Table2[Washing?],A571)</f>
        <v>0</v>
      </c>
      <c r="C571" s="3" t="e">
        <f t="shared" si="74"/>
        <v>#DIV/0!</v>
      </c>
      <c r="D571" s="10" t="e">
        <f>B571/(No_who_answered_survey-COUNTIFS(Table2[How comfortable is your centre? ],Condition_1,Table2[Washing?],"Not answered"))*100</f>
        <v>#DIV/0!</v>
      </c>
    </row>
    <row r="572" spans="1:4">
      <c r="A572" s="5" t="str">
        <f>'Validation List'!AM10</f>
        <v>.</v>
      </c>
      <c r="B572" s="3">
        <f>COUNTIFS(Table2[How comfortable is your centre? ],Condition_1,Table2[Washing?],A572)</f>
        <v>0</v>
      </c>
      <c r="C572" s="3" t="e">
        <f t="shared" si="74"/>
        <v>#DIV/0!</v>
      </c>
      <c r="D572" s="10" t="e">
        <f>B572/(No_who_answered_survey-COUNTIFS(Table2[How comfortable is your centre? ],Condition_1,Table2[Washing?],"Not answered"))*100</f>
        <v>#DIV/0!</v>
      </c>
    </row>
    <row r="573" spans="1:4">
      <c r="A573" s="5" t="str">
        <f>'Validation List'!AM11</f>
        <v>.</v>
      </c>
      <c r="B573" s="3">
        <f>COUNTIFS(Table2[How comfortable is your centre? ],Condition_1,Table2[Washing?],A573)</f>
        <v>0</v>
      </c>
      <c r="C573" s="3" t="e">
        <f t="shared" ref="C573:C576" si="75">B573/No_who_answered_survey*100</f>
        <v>#DIV/0!</v>
      </c>
      <c r="D573" s="10" t="e">
        <f>B573/(No_who_answered_survey-COUNTIFS(Table2[How comfortable is your centre? ],Condition_1,Table2[Washing?],"Not answered"))*100</f>
        <v>#DIV/0!</v>
      </c>
    </row>
    <row r="574" spans="1:4">
      <c r="A574" s="5" t="str">
        <f>'Validation List'!AM12</f>
        <v>.</v>
      </c>
      <c r="B574" s="3">
        <f>COUNTIFS(Table2[How comfortable is your centre? ],Condition_1,Table2[Washing?],A574)</f>
        <v>0</v>
      </c>
      <c r="C574" s="3" t="e">
        <f t="shared" si="75"/>
        <v>#DIV/0!</v>
      </c>
      <c r="D574" s="10" t="e">
        <f>B574/(No_who_answered_survey-COUNTIFS(Table2[How comfortable is your centre? ],Condition_1,Table2[Washing?],"Not answered"))*100</f>
        <v>#DIV/0!</v>
      </c>
    </row>
    <row r="575" spans="1:4">
      <c r="A575" s="5" t="str">
        <f>'Validation List'!AM13</f>
        <v>.</v>
      </c>
      <c r="B575" s="3">
        <f>COUNTIFS(Table2[How comfortable is your centre? ],Condition_1,Table2[Washing?],A575)</f>
        <v>0</v>
      </c>
      <c r="C575" s="3" t="e">
        <f t="shared" si="75"/>
        <v>#DIV/0!</v>
      </c>
      <c r="D575" s="10" t="e">
        <f>B575/(No_who_answered_survey-COUNTIFS(Table2[How comfortable is your centre? ],Condition_1,Table2[Washing?],"Not answered"))*100</f>
        <v>#DIV/0!</v>
      </c>
    </row>
    <row r="576" spans="1:4">
      <c r="A576" s="5" t="str">
        <f>'Validation List'!AM14</f>
        <v>.</v>
      </c>
      <c r="B576" s="3">
        <f>COUNTIFS(Table2[How comfortable is your centre? ],Condition_1,Table2[Washing?],A576)</f>
        <v>0</v>
      </c>
      <c r="C576" s="3" t="e">
        <f t="shared" si="75"/>
        <v>#DIV/0!</v>
      </c>
      <c r="D576" s="10" t="e">
        <f>B576/(No_who_answered_survey-COUNTIFS(Table2[How comfortable is your centre? ],Condition_1,Table2[Washing?],"Not answered"))*100</f>
        <v>#DIV/0!</v>
      </c>
    </row>
    <row r="577" spans="1:4">
      <c r="A577" s="5" t="str">
        <f>'Validation List'!AM15</f>
        <v>Not answered</v>
      </c>
      <c r="B577" s="3">
        <f>COUNTIFS(Table2[How comfortable is your centre? ],Condition_1,Table2[Washing?],A577)</f>
        <v>0</v>
      </c>
      <c r="C577" s="3" t="e">
        <f t="shared" si="74"/>
        <v>#DIV/0!</v>
      </c>
      <c r="D577" s="10"/>
    </row>
    <row r="578" spans="1:4">
      <c r="A578" s="5" t="s">
        <v>39</v>
      </c>
      <c r="B578" s="3">
        <f>SUM(B568:B577)</f>
        <v>0</v>
      </c>
      <c r="C578" s="3" t="e">
        <f t="shared" ref="C578:D578" si="76">SUM(C568:C577)</f>
        <v>#DIV/0!</v>
      </c>
      <c r="D578" s="3" t="e">
        <f t="shared" si="76"/>
        <v>#DIV/0!</v>
      </c>
    </row>
    <row r="579" spans="1:4">
      <c r="A579" s="2"/>
      <c r="B579" s="8"/>
      <c r="C579" s="8"/>
      <c r="D579" s="11"/>
    </row>
    <row r="580" spans="1:4">
      <c r="A580" s="2"/>
      <c r="B580" s="8"/>
      <c r="C580" s="8"/>
      <c r="D580" s="11"/>
    </row>
    <row r="581" spans="1:4">
      <c r="A581" s="58" t="str">
        <f>'Validation List'!AN3</f>
        <v>Eating or drinking?</v>
      </c>
      <c r="B581" s="59"/>
      <c r="C581" s="59"/>
      <c r="D581" s="60"/>
    </row>
    <row r="582" spans="1:4">
      <c r="A582" s="5"/>
      <c r="B582" s="3" t="s">
        <v>37</v>
      </c>
      <c r="C582" s="3" t="s">
        <v>38</v>
      </c>
      <c r="D582" s="10" t="s">
        <v>40</v>
      </c>
    </row>
    <row r="583" spans="1:4">
      <c r="A583" s="5" t="str">
        <f>'Validation List'!AN6</f>
        <v>Happy</v>
      </c>
      <c r="B583" s="3">
        <f>COUNTIFS(Table2[How comfortable is your centre? ],Condition_1,Table2[Eating or drinking?],A583)</f>
        <v>0</v>
      </c>
      <c r="C583" s="3" t="e">
        <f t="shared" ref="C583:C592" si="77">B583/No_who_answered_survey*100</f>
        <v>#DIV/0!</v>
      </c>
      <c r="D583" s="10" t="e">
        <f>B583/(No_who_answered_survey-COUNTIFS(Table2[How comfortable is your centre? ],Condition_1,Table2[Eating or drinking?],"Not answered"))*100</f>
        <v>#DIV/0!</v>
      </c>
    </row>
    <row r="584" spans="1:4">
      <c r="A584" s="5" t="str">
        <f>'Validation List'!AN7</f>
        <v>Neutral</v>
      </c>
      <c r="B584" s="3">
        <f>COUNTIFS(Table2[How comfortable is your centre? ],Condition_1,Table2[Eating or drinking?],A584)</f>
        <v>0</v>
      </c>
      <c r="C584" s="3" t="e">
        <f t="shared" si="77"/>
        <v>#DIV/0!</v>
      </c>
      <c r="D584" s="10" t="e">
        <f>B584/(No_who_answered_survey-COUNTIFS(Table2[How comfortable is your centre? ],Condition_1,Table2[Eating or drinking?],"Not answered"))*100</f>
        <v>#DIV/0!</v>
      </c>
    </row>
    <row r="585" spans="1:4">
      <c r="A585" s="5" t="str">
        <f>'Validation List'!AN8</f>
        <v>Unhappy</v>
      </c>
      <c r="B585" s="3">
        <f>COUNTIFS(Table2[How comfortable is your centre? ],Condition_1,Table2[Eating or drinking?],A585)</f>
        <v>0</v>
      </c>
      <c r="C585" s="3" t="e">
        <f t="shared" si="77"/>
        <v>#DIV/0!</v>
      </c>
      <c r="D585" s="10" t="e">
        <f>B585/(No_who_answered_survey-COUNTIFS(Table2[How comfortable is your centre? ],Condition_1,Table2[Eating or drinking?],"Not answered"))*100</f>
        <v>#DIV/0!</v>
      </c>
    </row>
    <row r="586" spans="1:4">
      <c r="A586" s="5" t="str">
        <f>'Validation List'!AN9</f>
        <v>I do not need support</v>
      </c>
      <c r="B586" s="3">
        <f>COUNTIFS(Table2[How comfortable is your centre? ],Condition_1,Table2[Eating or drinking?],A586)</f>
        <v>0</v>
      </c>
      <c r="C586" s="3" t="e">
        <f t="shared" si="77"/>
        <v>#DIV/0!</v>
      </c>
      <c r="D586" s="10" t="e">
        <f>B586/(No_who_answered_survey-COUNTIFS(Table2[How comfortable is your centre? ],Condition_1,Table2[Eating or drinking?],"Not answered"))*100</f>
        <v>#DIV/0!</v>
      </c>
    </row>
    <row r="587" spans="1:4">
      <c r="A587" s="5" t="str">
        <f>'Validation List'!AN10</f>
        <v>.</v>
      </c>
      <c r="B587" s="3">
        <f>COUNTIFS(Table2[How comfortable is your centre? ],Condition_1,Table2[Eating or drinking?],A587)</f>
        <v>0</v>
      </c>
      <c r="C587" s="3" t="e">
        <f t="shared" si="77"/>
        <v>#DIV/0!</v>
      </c>
      <c r="D587" s="10" t="e">
        <f>B587/(No_who_answered_survey-COUNTIFS(Table2[How comfortable is your centre? ],Condition_1,Table2[Eating or drinking?],"Not answered"))*100</f>
        <v>#DIV/0!</v>
      </c>
    </row>
    <row r="588" spans="1:4">
      <c r="A588" s="5" t="str">
        <f>'Validation List'!AN11</f>
        <v>.</v>
      </c>
      <c r="B588" s="3">
        <f>COUNTIFS(Table2[How comfortable is your centre? ],Condition_1,Table2[Eating or drinking?],A588)</f>
        <v>0</v>
      </c>
      <c r="C588" s="3" t="e">
        <f t="shared" ref="C588:C591" si="78">B588/No_who_answered_survey*100</f>
        <v>#DIV/0!</v>
      </c>
      <c r="D588" s="10" t="e">
        <f>B588/(No_who_answered_survey-COUNTIFS(Table2[How comfortable is your centre? ],Condition_1,Table2[Eating or drinking?],"Not answered"))*100</f>
        <v>#DIV/0!</v>
      </c>
    </row>
    <row r="589" spans="1:4">
      <c r="A589" s="5" t="str">
        <f>'Validation List'!AN12</f>
        <v>.</v>
      </c>
      <c r="B589" s="3">
        <f>COUNTIFS(Table2[How comfortable is your centre? ],Condition_1,Table2[Eating or drinking?],A589)</f>
        <v>0</v>
      </c>
      <c r="C589" s="3" t="e">
        <f t="shared" si="78"/>
        <v>#DIV/0!</v>
      </c>
      <c r="D589" s="10" t="e">
        <f>B589/(No_who_answered_survey-COUNTIFS(Table2[How comfortable is your centre? ],Condition_1,Table2[Eating or drinking?],"Not answered"))*100</f>
        <v>#DIV/0!</v>
      </c>
    </row>
    <row r="590" spans="1:4">
      <c r="A590" s="5" t="str">
        <f>'Validation List'!AN13</f>
        <v>.</v>
      </c>
      <c r="B590" s="3">
        <f>COUNTIFS(Table2[How comfortable is your centre? ],Condition_1,Table2[Eating or drinking?],A590)</f>
        <v>0</v>
      </c>
      <c r="C590" s="3" t="e">
        <f t="shared" si="78"/>
        <v>#DIV/0!</v>
      </c>
      <c r="D590" s="10" t="e">
        <f>B590/(No_who_answered_survey-COUNTIFS(Table2[How comfortable is your centre? ],Condition_1,Table2[Eating or drinking?],"Not answered"))*100</f>
        <v>#DIV/0!</v>
      </c>
    </row>
    <row r="591" spans="1:4">
      <c r="A591" s="5" t="str">
        <f>'Validation List'!AN14</f>
        <v>.</v>
      </c>
      <c r="B591" s="3">
        <f>COUNTIFS(Table2[How comfortable is your centre? ],Condition_1,Table2[Eating or drinking?],A591)</f>
        <v>0</v>
      </c>
      <c r="C591" s="3" t="e">
        <f t="shared" si="78"/>
        <v>#DIV/0!</v>
      </c>
      <c r="D591" s="10" t="e">
        <f>B591/(No_who_answered_survey-COUNTIFS(Table2[How comfortable is your centre? ],Condition_1,Table2[Eating or drinking?],"Not answered"))*100</f>
        <v>#DIV/0!</v>
      </c>
    </row>
    <row r="592" spans="1:4">
      <c r="A592" s="5" t="str">
        <f>'Validation List'!AN15</f>
        <v>Not answered</v>
      </c>
      <c r="B592" s="3">
        <f>COUNTIFS(Table2[How comfortable is your centre? ],Condition_1,Table2[Eating or drinking?],A592)</f>
        <v>0</v>
      </c>
      <c r="C592" s="3" t="e">
        <f t="shared" si="77"/>
        <v>#DIV/0!</v>
      </c>
      <c r="D592" s="10"/>
    </row>
    <row r="593" spans="1:4">
      <c r="A593" s="5" t="s">
        <v>39</v>
      </c>
      <c r="B593" s="3">
        <f>SUM(B583:B592)</f>
        <v>0</v>
      </c>
      <c r="C593" s="3" t="e">
        <f t="shared" ref="C593:D593" si="79">SUM(C583:C592)</f>
        <v>#DIV/0!</v>
      </c>
      <c r="D593" s="3" t="e">
        <f t="shared" si="79"/>
        <v>#DIV/0!</v>
      </c>
    </row>
    <row r="594" spans="1:4">
      <c r="A594" s="2"/>
      <c r="B594" s="8"/>
      <c r="C594" s="8"/>
      <c r="D594" s="11"/>
    </row>
    <row r="595" spans="1:4">
      <c r="A595" s="2"/>
      <c r="B595" s="8"/>
      <c r="C595" s="8"/>
      <c r="D595" s="11"/>
    </row>
    <row r="596" spans="1:4" ht="25.9" customHeight="1">
      <c r="A596" s="58" t="str">
        <f>'Validation List'!AO3</f>
        <v>Moving about?</v>
      </c>
      <c r="B596" s="59"/>
      <c r="C596" s="59"/>
      <c r="D596" s="60"/>
    </row>
    <row r="597" spans="1:4">
      <c r="A597" s="5"/>
      <c r="B597" s="3" t="s">
        <v>37</v>
      </c>
      <c r="C597" s="3" t="s">
        <v>38</v>
      </c>
      <c r="D597" s="10" t="s">
        <v>40</v>
      </c>
    </row>
    <row r="598" spans="1:4">
      <c r="A598" s="5" t="str">
        <f>'Validation List'!AO6</f>
        <v>Happy</v>
      </c>
      <c r="B598" s="3">
        <f>COUNTIFS(Table2[How comfortable is your centre? ],Condition_1,Table2[Moving about?],A598)</f>
        <v>0</v>
      </c>
      <c r="C598" s="3" t="e">
        <f t="shared" ref="C598:C607" si="80">B598/No_who_answered_survey*100</f>
        <v>#DIV/0!</v>
      </c>
      <c r="D598" s="10" t="e">
        <f>B598/(No_who_answered_survey-COUNTIFS(Table2[How comfortable is your centre? ],Condition_1,Table2[Moving about?],"Not answered"))*100</f>
        <v>#DIV/0!</v>
      </c>
    </row>
    <row r="599" spans="1:4">
      <c r="A599" s="5" t="str">
        <f>'Validation List'!AO7</f>
        <v>Neutral</v>
      </c>
      <c r="B599" s="3">
        <f>COUNTIFS(Table2[How comfortable is your centre? ],Condition_1,Table2[Moving about?],A599)</f>
        <v>0</v>
      </c>
      <c r="C599" s="3" t="e">
        <f t="shared" si="80"/>
        <v>#DIV/0!</v>
      </c>
      <c r="D599" s="10" t="e">
        <f>B599/(No_who_answered_survey-COUNTIFS(Table2[How comfortable is your centre? ],Condition_1,Table2[Moving about?],"Not answered"))*100</f>
        <v>#DIV/0!</v>
      </c>
    </row>
    <row r="600" spans="1:4">
      <c r="A600" s="5" t="str">
        <f>'Validation List'!AO8</f>
        <v>Unhappy</v>
      </c>
      <c r="B600" s="3">
        <f>COUNTIFS(Table2[How comfortable is your centre? ],Condition_1,Table2[Moving about?],A600)</f>
        <v>0</v>
      </c>
      <c r="C600" s="3" t="e">
        <f t="shared" si="80"/>
        <v>#DIV/0!</v>
      </c>
      <c r="D600" s="10" t="e">
        <f>B600/(No_who_answered_survey-COUNTIFS(Table2[How comfortable is your centre? ],Condition_1,Table2[Moving about?],"Not answered"))*100</f>
        <v>#DIV/0!</v>
      </c>
    </row>
    <row r="601" spans="1:4">
      <c r="A601" s="5" t="str">
        <f>'Validation List'!AO9</f>
        <v>I do not need support</v>
      </c>
      <c r="B601" s="3">
        <f>COUNTIFS(Table2[How comfortable is your centre? ],Condition_1,Table2[Moving about?],A601)</f>
        <v>0</v>
      </c>
      <c r="C601" s="3" t="e">
        <f t="shared" si="80"/>
        <v>#DIV/0!</v>
      </c>
      <c r="D601" s="10" t="e">
        <f>B601/(No_who_answered_survey-COUNTIFS(Table2[How comfortable is your centre? ],Condition_1,Table2[Moving about?],"Not answered"))*100</f>
        <v>#DIV/0!</v>
      </c>
    </row>
    <row r="602" spans="1:4">
      <c r="A602" s="5" t="str">
        <f>'Validation List'!AO10</f>
        <v>.</v>
      </c>
      <c r="B602" s="3">
        <f>COUNTIFS(Table2[How comfortable is your centre? ],Condition_1,Table2[Moving about?],A602)</f>
        <v>0</v>
      </c>
      <c r="C602" s="3" t="e">
        <f t="shared" si="80"/>
        <v>#DIV/0!</v>
      </c>
      <c r="D602" s="10" t="e">
        <f>B602/(No_who_answered_survey-COUNTIFS(Table2[How comfortable is your centre? ],Condition_1,Table2[Moving about?],"Not answered"))*100</f>
        <v>#DIV/0!</v>
      </c>
    </row>
    <row r="603" spans="1:4">
      <c r="A603" s="5" t="str">
        <f>'Validation List'!AO11</f>
        <v>.</v>
      </c>
      <c r="B603" s="3">
        <f>COUNTIFS(Table2[How comfortable is your centre? ],Condition_1,Table2[Moving about?],A603)</f>
        <v>0</v>
      </c>
      <c r="C603" s="3" t="e">
        <f t="shared" ref="C603:C606" si="81">B603/No_who_answered_survey*100</f>
        <v>#DIV/0!</v>
      </c>
      <c r="D603" s="10" t="e">
        <f>B603/(No_who_answered_survey-COUNTIFS(Table2[How comfortable is your centre? ],Condition_1,Table2[Moving about?],"Not answered"))*100</f>
        <v>#DIV/0!</v>
      </c>
    </row>
    <row r="604" spans="1:4">
      <c r="A604" s="5" t="str">
        <f>'Validation List'!AO12</f>
        <v>.</v>
      </c>
      <c r="B604" s="3">
        <f>COUNTIFS(Table2[How comfortable is your centre? ],Condition_1,Table2[Moving about?],A604)</f>
        <v>0</v>
      </c>
      <c r="C604" s="3" t="e">
        <f t="shared" si="81"/>
        <v>#DIV/0!</v>
      </c>
      <c r="D604" s="10" t="e">
        <f>B604/(No_who_answered_survey-COUNTIFS(Table2[How comfortable is your centre? ],Condition_1,Table2[Moving about?],"Not answered"))*100</f>
        <v>#DIV/0!</v>
      </c>
    </row>
    <row r="605" spans="1:4">
      <c r="A605" s="5" t="str">
        <f>'Validation List'!AO13</f>
        <v>.</v>
      </c>
      <c r="B605" s="3">
        <f>COUNTIFS(Table2[How comfortable is your centre? ],Condition_1,Table2[Moving about?],A605)</f>
        <v>0</v>
      </c>
      <c r="C605" s="3" t="e">
        <f t="shared" si="81"/>
        <v>#DIV/0!</v>
      </c>
      <c r="D605" s="10" t="e">
        <f>B605/(No_who_answered_survey-COUNTIFS(Table2[How comfortable is your centre? ],Condition_1,Table2[Moving about?],"Not answered"))*100</f>
        <v>#DIV/0!</v>
      </c>
    </row>
    <row r="606" spans="1:4">
      <c r="A606" s="5" t="str">
        <f>'Validation List'!AO14</f>
        <v>.</v>
      </c>
      <c r="B606" s="3">
        <f>COUNTIFS(Table2[How comfortable is your centre? ],Condition_1,Table2[Moving about?],A606)</f>
        <v>0</v>
      </c>
      <c r="C606" s="3" t="e">
        <f t="shared" si="81"/>
        <v>#DIV/0!</v>
      </c>
      <c r="D606" s="10" t="e">
        <f>B606/(No_who_answered_survey-COUNTIFS(Table2[How comfortable is your centre? ],Condition_1,Table2[Moving about?],"Not answered"))*100</f>
        <v>#DIV/0!</v>
      </c>
    </row>
    <row r="607" spans="1:4">
      <c r="A607" s="5" t="str">
        <f>'Validation List'!AO15</f>
        <v>Not answered</v>
      </c>
      <c r="B607" s="3">
        <f>COUNTIFS(Table2[How comfortable is your centre? ],Condition_1,Table2[Moving about?],A607)</f>
        <v>0</v>
      </c>
      <c r="C607" s="3" t="e">
        <f t="shared" si="80"/>
        <v>#DIV/0!</v>
      </c>
      <c r="D607" s="10"/>
    </row>
    <row r="608" spans="1:4">
      <c r="A608" s="5" t="s">
        <v>39</v>
      </c>
      <c r="B608" s="3">
        <f>SUM(B598:B607)</f>
        <v>0</v>
      </c>
      <c r="C608" s="3" t="e">
        <f t="shared" ref="C608:D608" si="82">SUM(C598:C607)</f>
        <v>#DIV/0!</v>
      </c>
      <c r="D608" s="3" t="e">
        <f t="shared" si="82"/>
        <v>#DIV/0!</v>
      </c>
    </row>
    <row r="609" spans="1:4">
      <c r="A609" s="2"/>
      <c r="B609" s="8"/>
      <c r="C609" s="8"/>
      <c r="D609" s="11"/>
    </row>
    <row r="610" spans="1:4">
      <c r="A610" s="2"/>
      <c r="B610" s="8"/>
      <c r="C610" s="8"/>
      <c r="D610" s="11"/>
    </row>
    <row r="611" spans="1:4">
      <c r="A611" s="58" t="str">
        <f>'Validation List'!AP3</f>
        <v xml:space="preserve">Taking part in social and recreational activities inside your centre? </v>
      </c>
      <c r="B611" s="59"/>
      <c r="C611" s="59"/>
      <c r="D611" s="60"/>
    </row>
    <row r="612" spans="1:4">
      <c r="A612" s="5"/>
      <c r="B612" s="3" t="s">
        <v>37</v>
      </c>
      <c r="C612" s="3" t="s">
        <v>38</v>
      </c>
      <c r="D612" s="10" t="s">
        <v>40</v>
      </c>
    </row>
    <row r="613" spans="1:4">
      <c r="A613" s="5" t="str">
        <f>'Validation List'!AP6</f>
        <v>Happy</v>
      </c>
      <c r="B613" s="3">
        <f>COUNTIFS(Table2[How comfortable is your centre? ],Condition_1,Table2[Taking part in social and recreational activities inside your centre? ],A613)</f>
        <v>0</v>
      </c>
      <c r="C613" s="3" t="e">
        <f t="shared" ref="C613:C622" si="83">B613/No_who_answered_survey*100</f>
        <v>#DIV/0!</v>
      </c>
      <c r="D613" s="10" t="e">
        <f>B613/(No_who_answered_survey-COUNTIFS(Table2[How comfortable is your centre? ],Condition_1,Table2[Taking part in social and recreational activities inside your centre? ],"Not answered"))*100</f>
        <v>#DIV/0!</v>
      </c>
    </row>
    <row r="614" spans="1:4">
      <c r="A614" s="5" t="str">
        <f>'Validation List'!AP7</f>
        <v>Neutral</v>
      </c>
      <c r="B614" s="3">
        <f>COUNTIFS(Table2[How comfortable is your centre? ],Condition_1,Table2[Taking part in social and recreational activities inside your centre? ],A614)</f>
        <v>0</v>
      </c>
      <c r="C614" s="3" t="e">
        <f t="shared" si="83"/>
        <v>#DIV/0!</v>
      </c>
      <c r="D614" s="10" t="e">
        <f>B614/(No_who_answered_survey-COUNTIFS(Table2[How comfortable is your centre? ],Condition_1,Table2[Taking part in social and recreational activities inside your centre? ],"Not answered"))*100</f>
        <v>#DIV/0!</v>
      </c>
    </row>
    <row r="615" spans="1:4">
      <c r="A615" s="5" t="str">
        <f>'Validation List'!AP8</f>
        <v>Unhappy</v>
      </c>
      <c r="B615" s="3">
        <f>COUNTIFS(Table2[How comfortable is your centre? ],Condition_1,Table2[Taking part in social and recreational activities inside your centre? ],A615)</f>
        <v>0</v>
      </c>
      <c r="C615" s="3" t="e">
        <f t="shared" si="83"/>
        <v>#DIV/0!</v>
      </c>
      <c r="D615" s="10" t="e">
        <f>B615/(No_who_answered_survey-COUNTIFS(Table2[How comfortable is your centre? ],Condition_1,Table2[Taking part in social and recreational activities inside your centre? ],"Not answered"))*100</f>
        <v>#DIV/0!</v>
      </c>
    </row>
    <row r="616" spans="1:4">
      <c r="A616" s="5" t="str">
        <f>'Validation List'!AP9</f>
        <v>I do not need support</v>
      </c>
      <c r="B616" s="3">
        <f>COUNTIFS(Table2[How comfortable is your centre? ],Condition_1,Table2[Taking part in social and recreational activities inside your centre? ],A616)</f>
        <v>0</v>
      </c>
      <c r="C616" s="3" t="e">
        <f t="shared" si="83"/>
        <v>#DIV/0!</v>
      </c>
      <c r="D616" s="10" t="e">
        <f>B616/(No_who_answered_survey-COUNTIFS(Table2[How comfortable is your centre? ],Condition_1,Table2[Taking part in social and recreational activities inside your centre? ],"Not answered"))*100</f>
        <v>#DIV/0!</v>
      </c>
    </row>
    <row r="617" spans="1:4">
      <c r="A617" s="5" t="str">
        <f>'Validation List'!AP10</f>
        <v>.</v>
      </c>
      <c r="B617" s="3">
        <f>COUNTIFS(Table2[How comfortable is your centre? ],Condition_1,Table2[Taking part in social and recreational activities inside your centre? ],A617)</f>
        <v>0</v>
      </c>
      <c r="C617" s="3" t="e">
        <f t="shared" si="83"/>
        <v>#DIV/0!</v>
      </c>
      <c r="D617" s="10" t="e">
        <f>B617/(No_who_answered_survey-COUNTIFS(Table2[How comfortable is your centre? ],Condition_1,Table2[Taking part in social and recreational activities inside your centre? ],"Not answered"))*100</f>
        <v>#DIV/0!</v>
      </c>
    </row>
    <row r="618" spans="1:4">
      <c r="A618" s="5" t="str">
        <f>'Validation List'!AP11</f>
        <v>.</v>
      </c>
      <c r="B618" s="3">
        <f>COUNTIFS(Table2[How comfortable is your centre? ],Condition_1,Table2[Taking part in social and recreational activities inside your centre? ],A618)</f>
        <v>0</v>
      </c>
      <c r="C618" s="3" t="e">
        <f t="shared" ref="C618:C621" si="84">B618/No_who_answered_survey*100</f>
        <v>#DIV/0!</v>
      </c>
      <c r="D618" s="10" t="e">
        <f>B618/(No_who_answered_survey-COUNTIFS(Table2[How comfortable is your centre? ],Condition_1,Table2[Taking part in social and recreational activities inside your centre? ],"Not answered"))*100</f>
        <v>#DIV/0!</v>
      </c>
    </row>
    <row r="619" spans="1:4">
      <c r="A619" s="5" t="str">
        <f>'Validation List'!AP12</f>
        <v>.</v>
      </c>
      <c r="B619" s="3">
        <f>COUNTIFS(Table2[How comfortable is your centre? ],Condition_1,Table2[Taking part in social and recreational activities inside your centre? ],A619)</f>
        <v>0</v>
      </c>
      <c r="C619" s="3" t="e">
        <f t="shared" si="84"/>
        <v>#DIV/0!</v>
      </c>
      <c r="D619" s="10" t="e">
        <f>B619/(No_who_answered_survey-COUNTIFS(Table2[How comfortable is your centre? ],Condition_1,Table2[Taking part in social and recreational activities inside your centre? ],"Not answered"))*100</f>
        <v>#DIV/0!</v>
      </c>
    </row>
    <row r="620" spans="1:4">
      <c r="A620" s="5" t="str">
        <f>'Validation List'!AP13</f>
        <v>.</v>
      </c>
      <c r="B620" s="3">
        <f>COUNTIFS(Table2[How comfortable is your centre? ],Condition_1,Table2[Taking part in social and recreational activities inside your centre? ],A620)</f>
        <v>0</v>
      </c>
      <c r="C620" s="3" t="e">
        <f t="shared" si="84"/>
        <v>#DIV/0!</v>
      </c>
      <c r="D620" s="10" t="e">
        <f>B620/(No_who_answered_survey-COUNTIFS(Table2[How comfortable is your centre? ],Condition_1,Table2[Taking part in social and recreational activities inside your centre? ],"Not answered"))*100</f>
        <v>#DIV/0!</v>
      </c>
    </row>
    <row r="621" spans="1:4">
      <c r="A621" s="5" t="str">
        <f>'Validation List'!AP14</f>
        <v>.</v>
      </c>
      <c r="B621" s="3">
        <f>COUNTIFS(Table2[How comfortable is your centre? ],Condition_1,Table2[Taking part in social and recreational activities inside your centre? ],A621)</f>
        <v>0</v>
      </c>
      <c r="C621" s="3" t="e">
        <f t="shared" si="84"/>
        <v>#DIV/0!</v>
      </c>
      <c r="D621" s="10" t="e">
        <f>B621/(No_who_answered_survey-COUNTIFS(Table2[How comfortable is your centre? ],Condition_1,Table2[Taking part in social and recreational activities inside your centre? ],"Not answered"))*100</f>
        <v>#DIV/0!</v>
      </c>
    </row>
    <row r="622" spans="1:4">
      <c r="A622" s="5" t="str">
        <f>'Validation List'!AP15</f>
        <v>Not answered</v>
      </c>
      <c r="B622" s="3">
        <f>COUNTIFS(Table2[How comfortable is your centre? ],Condition_1,Table2[Taking part in social and recreational activities inside your centre? ],A622)</f>
        <v>0</v>
      </c>
      <c r="C622" s="3" t="e">
        <f t="shared" si="83"/>
        <v>#DIV/0!</v>
      </c>
      <c r="D622" s="10"/>
    </row>
    <row r="623" spans="1:4">
      <c r="A623" s="5" t="s">
        <v>39</v>
      </c>
      <c r="B623" s="3">
        <f>SUM(B613:B622)</f>
        <v>0</v>
      </c>
      <c r="C623" s="3" t="e">
        <f>SUM(C613:C622)</f>
        <v>#DIV/0!</v>
      </c>
      <c r="D623" s="3" t="e">
        <f>SUM(D613:D622)</f>
        <v>#DIV/0!</v>
      </c>
    </row>
    <row r="624" spans="1:4">
      <c r="A624" s="2"/>
      <c r="B624" s="8"/>
      <c r="C624" s="8"/>
      <c r="D624" s="11"/>
    </row>
    <row r="625" spans="1:4">
      <c r="A625" s="2"/>
      <c r="B625" s="8"/>
      <c r="C625" s="8"/>
      <c r="D625" s="11"/>
    </row>
    <row r="626" spans="1:4">
      <c r="A626" s="58" t="str">
        <f>'Validation List'!AQ3</f>
        <v xml:space="preserve">Taking part in activities outside your centre?  </v>
      </c>
      <c r="B626" s="59"/>
      <c r="C626" s="59"/>
      <c r="D626" s="60"/>
    </row>
    <row r="627" spans="1:4">
      <c r="A627" s="5"/>
      <c r="B627" s="3" t="s">
        <v>37</v>
      </c>
      <c r="C627" s="3" t="s">
        <v>38</v>
      </c>
      <c r="D627" s="10" t="s">
        <v>40</v>
      </c>
    </row>
    <row r="628" spans="1:4">
      <c r="A628" s="5" t="str">
        <f>'Validation List'!AQ6</f>
        <v>Happy</v>
      </c>
      <c r="B628" s="3">
        <f>COUNTIFS(Table2[How comfortable is your centre? ],Condition_1,Table2[Taking part in activities outside your centre?  ],A628)</f>
        <v>0</v>
      </c>
      <c r="C628" s="3" t="e">
        <f t="shared" ref="C628:C637" si="85">B628/No_who_answered_survey*100</f>
        <v>#DIV/0!</v>
      </c>
      <c r="D628" s="10" t="e">
        <f>B628/(No_who_answered_survey-COUNTIFS(Table2[How comfortable is your centre? ],Condition_1,Table2[Taking part in activities outside your centre?  ],"Not answered"))*100</f>
        <v>#DIV/0!</v>
      </c>
    </row>
    <row r="629" spans="1:4">
      <c r="A629" s="5" t="str">
        <f>'Validation List'!AQ7</f>
        <v>Neutral</v>
      </c>
      <c r="B629" s="3">
        <f>COUNTIFS(Table2[How comfortable is your centre? ],Condition_1,Table2[Taking part in activities outside your centre?  ],A629)</f>
        <v>0</v>
      </c>
      <c r="C629" s="3" t="e">
        <f t="shared" si="85"/>
        <v>#DIV/0!</v>
      </c>
      <c r="D629" s="10" t="e">
        <f>B629/(No_who_answered_survey-COUNTIFS(Table2[How comfortable is your centre? ],Condition_1,Table2[Taking part in activities outside your centre?  ],"Not answered"))*100</f>
        <v>#DIV/0!</v>
      </c>
    </row>
    <row r="630" spans="1:4">
      <c r="A630" s="5" t="str">
        <f>'Validation List'!AQ8</f>
        <v>Unhappy</v>
      </c>
      <c r="B630" s="3">
        <f>COUNTIFS(Table2[How comfortable is your centre? ],Condition_1,Table2[Taking part in activities outside your centre?  ],A630)</f>
        <v>0</v>
      </c>
      <c r="C630" s="3" t="e">
        <f t="shared" si="85"/>
        <v>#DIV/0!</v>
      </c>
      <c r="D630" s="10" t="e">
        <f>B630/(No_who_answered_survey-COUNTIFS(Table2[How comfortable is your centre? ],Condition_1,Table2[Taking part in activities outside your centre?  ],"Not answered"))*100</f>
        <v>#DIV/0!</v>
      </c>
    </row>
    <row r="631" spans="1:4">
      <c r="A631" s="5" t="str">
        <f>'Validation List'!AQ9</f>
        <v>I do not need support</v>
      </c>
      <c r="B631" s="3">
        <f>COUNTIFS(Table2[How comfortable is your centre? ],Condition_1,Table2[Taking part in activities outside your centre?  ],A631)</f>
        <v>0</v>
      </c>
      <c r="C631" s="3" t="e">
        <f t="shared" si="85"/>
        <v>#DIV/0!</v>
      </c>
      <c r="D631" s="10" t="e">
        <f>B631/(No_who_answered_survey-COUNTIFS(Table2[How comfortable is your centre? ],Condition_1,Table2[Taking part in activities outside your centre?  ],"Not answered"))*100</f>
        <v>#DIV/0!</v>
      </c>
    </row>
    <row r="632" spans="1:4">
      <c r="A632" s="5" t="str">
        <f>'Validation List'!AQ10</f>
        <v>.</v>
      </c>
      <c r="B632" s="3">
        <f>COUNTIFS(Table2[How comfortable is your centre? ],Condition_1,Table2[Taking part in activities outside your centre?  ],A632)</f>
        <v>0</v>
      </c>
      <c r="C632" s="3" t="e">
        <f t="shared" si="85"/>
        <v>#DIV/0!</v>
      </c>
      <c r="D632" s="10" t="e">
        <f>B632/(No_who_answered_survey-COUNTIFS(Table2[How comfortable is your centre? ],Condition_1,Table2[Taking part in activities outside your centre?  ],"Not answered"))*100</f>
        <v>#DIV/0!</v>
      </c>
    </row>
    <row r="633" spans="1:4">
      <c r="A633" s="5" t="str">
        <f>'Validation List'!AQ11</f>
        <v>.</v>
      </c>
      <c r="B633" s="3">
        <f>COUNTIFS(Table2[How comfortable is your centre? ],Condition_1,Table2[Taking part in activities outside your centre?  ],A633)</f>
        <v>0</v>
      </c>
      <c r="C633" s="3" t="e">
        <f t="shared" ref="C633:C636" si="86">B633/No_who_answered_survey*100</f>
        <v>#DIV/0!</v>
      </c>
      <c r="D633" s="10" t="e">
        <f>B633/(No_who_answered_survey-COUNTIFS(Table2[How comfortable is your centre? ],Condition_1,Table2[Taking part in activities outside your centre?  ],"Not answered"))*100</f>
        <v>#DIV/0!</v>
      </c>
    </row>
    <row r="634" spans="1:4">
      <c r="A634" s="5" t="str">
        <f>'Validation List'!AQ12</f>
        <v>.</v>
      </c>
      <c r="B634" s="3">
        <f>COUNTIFS(Table2[How comfortable is your centre? ],Condition_1,Table2[Taking part in activities outside your centre?  ],A634)</f>
        <v>0</v>
      </c>
      <c r="C634" s="3" t="e">
        <f t="shared" si="86"/>
        <v>#DIV/0!</v>
      </c>
      <c r="D634" s="10" t="e">
        <f>B634/(No_who_answered_survey-COUNTIFS(Table2[How comfortable is your centre? ],Condition_1,Table2[Taking part in activities outside your centre?  ],"Not answered"))*100</f>
        <v>#DIV/0!</v>
      </c>
    </row>
    <row r="635" spans="1:4">
      <c r="A635" s="5" t="str">
        <f>'Validation List'!AQ13</f>
        <v>.</v>
      </c>
      <c r="B635" s="3">
        <f>COUNTIFS(Table2[How comfortable is your centre? ],Condition_1,Table2[Taking part in activities outside your centre?  ],A635)</f>
        <v>0</v>
      </c>
      <c r="C635" s="3" t="e">
        <f t="shared" si="86"/>
        <v>#DIV/0!</v>
      </c>
      <c r="D635" s="10" t="e">
        <f>B635/(No_who_answered_survey-COUNTIFS(Table2[How comfortable is your centre? ],Condition_1,Table2[Taking part in activities outside your centre?  ],"Not answered"))*100</f>
        <v>#DIV/0!</v>
      </c>
    </row>
    <row r="636" spans="1:4">
      <c r="A636" s="5" t="str">
        <f>'Validation List'!AQ14</f>
        <v>.</v>
      </c>
      <c r="B636" s="3">
        <f>COUNTIFS(Table2[How comfortable is your centre? ],Condition_1,Table2[Taking part in activities outside your centre?  ],A636)</f>
        <v>0</v>
      </c>
      <c r="C636" s="3" t="e">
        <f t="shared" si="86"/>
        <v>#DIV/0!</v>
      </c>
      <c r="D636" s="10" t="e">
        <f>B636/(No_who_answered_survey-COUNTIFS(Table2[How comfortable is your centre? ],Condition_1,Table2[Taking part in activities outside your centre?  ],"Not answered"))*100</f>
        <v>#DIV/0!</v>
      </c>
    </row>
    <row r="637" spans="1:4">
      <c r="A637" s="5" t="str">
        <f>'Validation List'!AQ15</f>
        <v>Not answered</v>
      </c>
      <c r="B637" s="3">
        <f>COUNTIFS(Table2[How comfortable is your centre? ],Condition_1,Table2[Taking part in activities outside your centre?  ],A637)</f>
        <v>0</v>
      </c>
      <c r="C637" s="3" t="e">
        <f t="shared" si="85"/>
        <v>#DIV/0!</v>
      </c>
      <c r="D637" s="10"/>
    </row>
    <row r="638" spans="1:4">
      <c r="A638" s="5" t="s">
        <v>39</v>
      </c>
      <c r="B638" s="3">
        <f>SUM(B628:B637)</f>
        <v>0</v>
      </c>
      <c r="C638" s="3" t="e">
        <f t="shared" ref="C638:D638" si="87">SUM(C628:C637)</f>
        <v>#DIV/0!</v>
      </c>
      <c r="D638" s="3" t="e">
        <f t="shared" si="87"/>
        <v>#DIV/0!</v>
      </c>
    </row>
    <row r="639" spans="1:4">
      <c r="A639" s="2"/>
      <c r="B639" s="8"/>
      <c r="C639" s="8"/>
      <c r="D639" s="11"/>
    </row>
    <row r="640" spans="1:4">
      <c r="A640" s="2"/>
      <c r="B640" s="8"/>
      <c r="C640" s="8"/>
      <c r="D640" s="11"/>
    </row>
    <row r="641" spans="1:4">
      <c r="A641" s="58" t="str">
        <f>'Validation List'!AR3</f>
        <v>Who would you speak with if you were unhappy with something in your Centre</v>
      </c>
      <c r="B641" s="59"/>
      <c r="C641" s="59"/>
      <c r="D641" s="60"/>
    </row>
    <row r="642" spans="1:4">
      <c r="A642" s="5"/>
      <c r="B642" s="3" t="s">
        <v>37</v>
      </c>
      <c r="C642" s="3" t="s">
        <v>38</v>
      </c>
      <c r="D642" s="10" t="s">
        <v>40</v>
      </c>
    </row>
    <row r="643" spans="1:4">
      <c r="A643" s="5" t="str">
        <f>'Validation List'!AR6</f>
        <v>Staff member</v>
      </c>
      <c r="B643" s="3">
        <f>COUNTIFS(Table2[How comfortable is your centre? ],Condition_1,Table2[Who would you speak with if you were unhappy with something in your Centre],A643)</f>
        <v>0</v>
      </c>
      <c r="C643" s="3" t="e">
        <f t="shared" ref="C643:C652" si="88">B643/No_who_answered_survey*100</f>
        <v>#DIV/0!</v>
      </c>
      <c r="D643" s="10" t="e">
        <f>B643/(No_who_answered_survey-COUNTIFS(Table2[How comfortable is your centre? ],Condition_1,Table2[Who would you speak with if you were unhappy with something in your Centre],"Not answered"))*100</f>
        <v>#DIV/0!</v>
      </c>
    </row>
    <row r="644" spans="1:4">
      <c r="A644" s="5" t="str">
        <f>'Validation List'!AR7</f>
        <v>Family member or friend</v>
      </c>
      <c r="B644" s="3">
        <f>COUNTIFS(Table2[How comfortable is your centre? ],Condition_1,Table2[Who would you speak with if you were unhappy with something in your Centre],A644)</f>
        <v>0</v>
      </c>
      <c r="C644" s="3" t="e">
        <f t="shared" si="88"/>
        <v>#DIV/0!</v>
      </c>
      <c r="D644" s="10" t="e">
        <f>B644/(No_who_answered_survey-COUNTIFS(Table2[How comfortable is your centre? ],Condition_1,Table2[Who would you speak with if you were unhappy with something in your Centre],"Not answered"))*100</f>
        <v>#DIV/0!</v>
      </c>
    </row>
    <row r="645" spans="1:4">
      <c r="A645" s="5" t="str">
        <f>'Validation List'!AR8</f>
        <v>Don't know</v>
      </c>
      <c r="B645" s="3">
        <f>COUNTIFS(Table2[How comfortable is your centre? ],Condition_1,Table2[Who would you speak with if you were unhappy with something in your Centre],A645)</f>
        <v>0</v>
      </c>
      <c r="C645" s="3" t="e">
        <f t="shared" si="88"/>
        <v>#DIV/0!</v>
      </c>
      <c r="D645" s="10" t="e">
        <f>B645/(No_who_answered_survey-COUNTIFS(Table2[How comfortable is your centre? ],Condition_1,Table2[Who would you speak with if you were unhappy with something in your Centre],"Not answered"))*100</f>
        <v>#DIV/0!</v>
      </c>
    </row>
    <row r="646" spans="1:4">
      <c r="A646" s="5" t="str">
        <f>'Validation List'!AR9</f>
        <v>Ombudsman</v>
      </c>
      <c r="B646" s="3">
        <f>COUNTIFS(Table2[How comfortable is your centre? ],Condition_1,Table2[Who would you speak with if you were unhappy with something in your Centre],A646)</f>
        <v>0</v>
      </c>
      <c r="C646" s="3" t="e">
        <f t="shared" si="88"/>
        <v>#DIV/0!</v>
      </c>
      <c r="D646" s="10" t="e">
        <f>B646/(No_who_answered_survey-COUNTIFS(Table2[How comfortable is your centre? ],Condition_1,Table2[Who would you speak with if you were unhappy with something in your Centre],"Not answered"))*100</f>
        <v>#DIV/0!</v>
      </c>
    </row>
    <row r="647" spans="1:4">
      <c r="A647" s="5" t="str">
        <f>'Validation List'!AR10</f>
        <v>Confidential Recipient</v>
      </c>
      <c r="B647" s="3">
        <f>COUNTIFS(Table2[How comfortable is your centre? ],Condition_1,Table2[Who would you speak with if you were unhappy with something in your Centre],A647)</f>
        <v>0</v>
      </c>
      <c r="C647" s="3" t="e">
        <f t="shared" si="88"/>
        <v>#DIV/0!</v>
      </c>
      <c r="D647" s="10" t="e">
        <f>B647/(No_who_answered_survey-COUNTIFS(Table2[How comfortable is your centre? ],Condition_1,Table2[Who would you speak with if you were unhappy with something in your Centre],"Not answered"))*100</f>
        <v>#DIV/0!</v>
      </c>
    </row>
    <row r="648" spans="1:4">
      <c r="A648" s="5" t="str">
        <f>'Validation List'!AR11</f>
        <v>Independent Advocate</v>
      </c>
      <c r="B648" s="3">
        <f>COUNTIFS(Table2[How comfortable is your centre? ],Condition_1,Table2[Who would you speak with if you were unhappy with something in your Centre],A648)</f>
        <v>0</v>
      </c>
      <c r="C648" s="3" t="e">
        <f t="shared" ref="C648:C651" si="89">B648/No_who_answered_survey*100</f>
        <v>#DIV/0!</v>
      </c>
      <c r="D648" s="10" t="e">
        <f>B648/(No_who_answered_survey-COUNTIFS(Table2[How comfortable is your centre? ],Condition_1,Table2[Who would you speak with if you were unhappy with something in your Centre],"Not answered"))*100</f>
        <v>#DIV/0!</v>
      </c>
    </row>
    <row r="649" spans="1:4">
      <c r="A649" s="5" t="str">
        <f>'Validation List'!AR12</f>
        <v>Complaints Officer</v>
      </c>
      <c r="B649" s="3">
        <f>COUNTIFS(Table2[How comfortable is your centre? ],Condition_1,Table2[Who would you speak with if you were unhappy with something in your Centre],A649)</f>
        <v>0</v>
      </c>
      <c r="C649" s="3" t="e">
        <f t="shared" si="89"/>
        <v>#DIV/0!</v>
      </c>
      <c r="D649" s="10" t="e">
        <f>B649/(No_who_answered_survey-COUNTIFS(Table2[How comfortable is your centre? ],Condition_1,Table2[Who would you speak with if you were unhappy with something in your Centre],"Not answered"))*100</f>
        <v>#DIV/0!</v>
      </c>
    </row>
    <row r="650" spans="1:4">
      <c r="A650" s="5" t="str">
        <f>'Validation List'!AR13</f>
        <v>Disability Manager</v>
      </c>
      <c r="B650" s="3">
        <f>COUNTIFS(Table2[How comfortable is your centre? ],Condition_1,Table2[Who would you speak with if you were unhappy with something in your Centre],A650)</f>
        <v>0</v>
      </c>
      <c r="C650" s="3" t="e">
        <f t="shared" si="89"/>
        <v>#DIV/0!</v>
      </c>
      <c r="D650" s="10" t="e">
        <f>B650/(No_who_answered_survey-COUNTIFS(Table2[How comfortable is your centre? ],Condition_1,Table2[Who would you speak with if you were unhappy with something in your Centre],"Not answered"))*100</f>
        <v>#DIV/0!</v>
      </c>
    </row>
    <row r="651" spans="1:4">
      <c r="A651" s="5" t="str">
        <f>'Validation List'!AR14</f>
        <v>Not applicable to me</v>
      </c>
      <c r="B651" s="3">
        <f>COUNTIFS(Table2[How comfortable is your centre? ],Condition_1,Table2[Who would you speak with if you were unhappy with something in your Centre],A651)</f>
        <v>0</v>
      </c>
      <c r="C651" s="3" t="e">
        <f t="shared" si="89"/>
        <v>#DIV/0!</v>
      </c>
      <c r="D651" s="10" t="e">
        <f>B651/(No_who_answered_survey-COUNTIFS(Table2[How comfortable is your centre? ],Condition_1,Table2[Who would you speak with if you were unhappy with something in your Centre],"Not answered"))*100</f>
        <v>#DIV/0!</v>
      </c>
    </row>
    <row r="652" spans="1:4">
      <c r="A652" s="5" t="str">
        <f>'Validation List'!AR15</f>
        <v>Not answered</v>
      </c>
      <c r="B652" s="3">
        <f>COUNTIFS(Table2[How comfortable is your centre? ],Condition_1,Table2[Who would you speak with if you were unhappy with something in your Centre],A652)</f>
        <v>0</v>
      </c>
      <c r="C652" s="3" t="e">
        <f t="shared" si="88"/>
        <v>#DIV/0!</v>
      </c>
      <c r="D652" s="10"/>
    </row>
    <row r="653" spans="1:4">
      <c r="A653" s="5" t="s">
        <v>39</v>
      </c>
      <c r="B653" s="3">
        <f>SUM(B643:B652)</f>
        <v>0</v>
      </c>
      <c r="C653" s="3" t="e">
        <f t="shared" ref="C653:D653" si="90">SUM(C643:C652)</f>
        <v>#DIV/0!</v>
      </c>
      <c r="D653" s="3" t="e">
        <f t="shared" si="90"/>
        <v>#DIV/0!</v>
      </c>
    </row>
    <row r="654" spans="1:4">
      <c r="A654" s="2"/>
      <c r="B654" s="8"/>
      <c r="C654" s="8"/>
      <c r="D654" s="11"/>
    </row>
    <row r="655" spans="1:4">
      <c r="A655" s="2"/>
      <c r="B655" s="8"/>
      <c r="C655" s="8"/>
      <c r="D655" s="11"/>
    </row>
    <row r="656" spans="1:4">
      <c r="A656" s="58" t="str">
        <f>'Validation List'!AS3</f>
        <v>Have you ever made a complaint about something in your Centre?</v>
      </c>
      <c r="B656" s="59"/>
      <c r="C656" s="59"/>
      <c r="D656" s="60"/>
    </row>
    <row r="657" spans="1:4">
      <c r="A657" s="5"/>
      <c r="B657" s="3" t="s">
        <v>37</v>
      </c>
      <c r="C657" s="3" t="s">
        <v>38</v>
      </c>
      <c r="D657" s="10" t="s">
        <v>40</v>
      </c>
    </row>
    <row r="658" spans="1:4">
      <c r="A658" s="5" t="str">
        <f>'Validation List'!AS6</f>
        <v>Yes</v>
      </c>
      <c r="B658" s="3">
        <f>COUNTIFS(Table2[How comfortable is your centre? ],Condition_1,Table2[Have you ever made a complaint about something in your Centre?],A658)</f>
        <v>0</v>
      </c>
      <c r="C658" s="3" t="e">
        <f t="shared" ref="C658:C667" si="91">B658/No_who_answered_survey*100</f>
        <v>#DIV/0!</v>
      </c>
      <c r="D658" s="10" t="e">
        <f>B658/(No_who_answered_survey-COUNTIFS(Table2[How comfortable is your centre? ],Condition_1,Table2[Have you ever made a complaint about something in your Centre?],"Not answered"))*100</f>
        <v>#DIV/0!</v>
      </c>
    </row>
    <row r="659" spans="1:4">
      <c r="A659" s="5" t="str">
        <f>'Validation List'!AS7</f>
        <v>No</v>
      </c>
      <c r="B659" s="3">
        <f>COUNTIFS(Table2[How comfortable is your centre? ],Condition_1,Table2[Have you ever made a complaint about something in your Centre?],A659)</f>
        <v>0</v>
      </c>
      <c r="C659" s="3" t="e">
        <f t="shared" si="91"/>
        <v>#DIV/0!</v>
      </c>
      <c r="D659" s="10" t="e">
        <f>B659/(No_who_answered_survey-COUNTIFS(Table2[How comfortable is your centre? ],Condition_1,Table2[Have you ever made a complaint about something in your Centre?],"Not answered"))*100</f>
        <v>#DIV/0!</v>
      </c>
    </row>
    <row r="660" spans="1:4">
      <c r="A660" s="5" t="str">
        <f>'Validation List'!AS8</f>
        <v>Not applicable to me</v>
      </c>
      <c r="B660" s="3">
        <f>COUNTIFS(Table2[How comfortable is your centre? ],Condition_1,Table2[Have you ever made a complaint about something in your Centre?],A660)</f>
        <v>0</v>
      </c>
      <c r="C660" s="3" t="e">
        <f t="shared" si="91"/>
        <v>#DIV/0!</v>
      </c>
      <c r="D660" s="10" t="e">
        <f>B660/(No_who_answered_survey-COUNTIFS(Table2[How comfortable is your centre? ],Condition_1,Table2[Have you ever made a complaint about something in your Centre?],"Not answered"))*100</f>
        <v>#DIV/0!</v>
      </c>
    </row>
    <row r="661" spans="1:4">
      <c r="A661" s="5">
        <f>'Validation List'!AS9</f>
        <v>0</v>
      </c>
      <c r="B661" s="3">
        <f>COUNTIFS(Table2[How comfortable is your centre? ],Condition_1,Table2[Have you ever made a complaint about something in your Centre?],A661)</f>
        <v>0</v>
      </c>
      <c r="C661" s="3" t="e">
        <f t="shared" si="91"/>
        <v>#DIV/0!</v>
      </c>
      <c r="D661" s="10" t="e">
        <f>B661/(No_who_answered_survey-COUNTIFS(Table2[How comfortable is your centre? ],Condition_1,Table2[Have you ever made a complaint about something in your Centre?],"Not answered"))*100</f>
        <v>#DIV/0!</v>
      </c>
    </row>
    <row r="662" spans="1:4">
      <c r="A662" s="5">
        <f>'Validation List'!AS10</f>
        <v>0</v>
      </c>
      <c r="B662" s="3">
        <f>COUNTIFS(Table2[How comfortable is your centre? ],Condition_1,Table2[Have you ever made a complaint about something in your Centre?],A662)</f>
        <v>0</v>
      </c>
      <c r="C662" s="3" t="e">
        <f t="shared" si="91"/>
        <v>#DIV/0!</v>
      </c>
      <c r="D662" s="10" t="e">
        <f>B662/(No_who_answered_survey-COUNTIFS(Table2[How comfortable is your centre? ],Condition_1,Table2[Have you ever made a complaint about something in your Centre?],"Not answered"))*100</f>
        <v>#DIV/0!</v>
      </c>
    </row>
    <row r="663" spans="1:4">
      <c r="A663" s="5">
        <f>'Validation List'!AS11</f>
        <v>0</v>
      </c>
      <c r="B663" s="3">
        <f>COUNTIFS(Table2[How comfortable is your centre? ],Condition_1,Table2[Have you ever made a complaint about something in your Centre?],A663)</f>
        <v>0</v>
      </c>
      <c r="C663" s="3" t="e">
        <f t="shared" ref="C663:C666" si="92">B663/No_who_answered_survey*100</f>
        <v>#DIV/0!</v>
      </c>
      <c r="D663" s="10" t="e">
        <f>B663/(No_who_answered_survey-COUNTIFS(Table2[How comfortable is your centre? ],Condition_1,Table2[Have you ever made a complaint about something in your Centre?],"Not answered"))*100</f>
        <v>#DIV/0!</v>
      </c>
    </row>
    <row r="664" spans="1:4">
      <c r="A664" s="5" t="str">
        <f>'Validation List'!AS12</f>
        <v>.</v>
      </c>
      <c r="B664" s="3">
        <f>COUNTIFS(Table2[How comfortable is your centre? ],Condition_1,Table2[Have you ever made a complaint about something in your Centre?],A664)</f>
        <v>0</v>
      </c>
      <c r="C664" s="3" t="e">
        <f t="shared" si="92"/>
        <v>#DIV/0!</v>
      </c>
      <c r="D664" s="10" t="e">
        <f>B664/(No_who_answered_survey-COUNTIFS(Table2[How comfortable is your centre? ],Condition_1,Table2[Have you ever made a complaint about something in your Centre?],"Not answered"))*100</f>
        <v>#DIV/0!</v>
      </c>
    </row>
    <row r="665" spans="1:4">
      <c r="A665" s="5" t="str">
        <f>'Validation List'!AS13</f>
        <v>.</v>
      </c>
      <c r="B665" s="3">
        <f>COUNTIFS(Table2[How comfortable is your centre? ],Condition_1,Table2[Have you ever made a complaint about something in your Centre?],A665)</f>
        <v>0</v>
      </c>
      <c r="C665" s="3" t="e">
        <f t="shared" si="92"/>
        <v>#DIV/0!</v>
      </c>
      <c r="D665" s="10" t="e">
        <f>B665/(No_who_answered_survey-COUNTIFS(Table2[How comfortable is your centre? ],Condition_1,Table2[Have you ever made a complaint about something in your Centre?],"Not answered"))*100</f>
        <v>#DIV/0!</v>
      </c>
    </row>
    <row r="666" spans="1:4">
      <c r="A666" s="5" t="str">
        <f>'Validation List'!AS14</f>
        <v>.</v>
      </c>
      <c r="B666" s="3">
        <f>COUNTIFS(Table2[How comfortable is your centre? ],Condition_1,Table2[Have you ever made a complaint about something in your Centre?],A666)</f>
        <v>0</v>
      </c>
      <c r="C666" s="3" t="e">
        <f t="shared" si="92"/>
        <v>#DIV/0!</v>
      </c>
      <c r="D666" s="10" t="e">
        <f>B666/(No_who_answered_survey-COUNTIFS(Table2[How comfortable is your centre? ],Condition_1,Table2[Have you ever made a complaint about something in your Centre?],"Not answered"))*100</f>
        <v>#DIV/0!</v>
      </c>
    </row>
    <row r="667" spans="1:4">
      <c r="A667" s="5" t="str">
        <f>'Validation List'!AS15</f>
        <v>Not answered</v>
      </c>
      <c r="B667" s="3">
        <f>COUNTIFS(Table2[How comfortable is your centre? ],Condition_1,Table2[Have you ever made a complaint about something in your Centre?],A667)</f>
        <v>0</v>
      </c>
      <c r="C667" s="3" t="e">
        <f t="shared" si="91"/>
        <v>#DIV/0!</v>
      </c>
      <c r="D667" s="10"/>
    </row>
    <row r="668" spans="1:4">
      <c r="A668" s="5" t="s">
        <v>39</v>
      </c>
      <c r="B668" s="3">
        <f>SUM(B658:B667)</f>
        <v>0</v>
      </c>
      <c r="C668" s="3" t="e">
        <f t="shared" ref="C668:D668" si="93">SUM(C658:C667)</f>
        <v>#DIV/0!</v>
      </c>
      <c r="D668" s="3" t="e">
        <f t="shared" si="93"/>
        <v>#DIV/0!</v>
      </c>
    </row>
    <row r="669" spans="1:4">
      <c r="A669" s="2"/>
      <c r="B669" s="8"/>
      <c r="C669" s="8"/>
      <c r="D669" s="11"/>
    </row>
    <row r="670" spans="1:4">
      <c r="A670" s="2"/>
      <c r="B670" s="8"/>
      <c r="C670" s="8"/>
      <c r="D670" s="11"/>
    </row>
    <row r="671" spans="1:4">
      <c r="A671" s="58" t="str">
        <f>'Validation List'!AT3</f>
        <v>Were you happy with the way your complaint was dealt with?</v>
      </c>
      <c r="B671" s="59"/>
      <c r="C671" s="59"/>
      <c r="D671" s="60"/>
    </row>
    <row r="672" spans="1:4">
      <c r="A672" s="5"/>
      <c r="B672" s="3" t="s">
        <v>37</v>
      </c>
      <c r="C672" s="3" t="s">
        <v>38</v>
      </c>
      <c r="D672" s="10" t="s">
        <v>40</v>
      </c>
    </row>
    <row r="673" spans="1:4">
      <c r="A673" s="5" t="str">
        <f>'Validation List'!AT6</f>
        <v>Yes</v>
      </c>
      <c r="B673" s="3">
        <f>COUNTIFS(Table2[How comfortable is your centre? ],Condition_1,Table2[Were you happy with the way your complaint was dealt with?],A673)</f>
        <v>0</v>
      </c>
      <c r="C673" s="3" t="e">
        <f t="shared" ref="C673:C682" si="94">B673/No_who_answered_survey*100</f>
        <v>#DIV/0!</v>
      </c>
      <c r="D673" s="10" t="e">
        <f>B673/(No_who_answered_survey-COUNTIFS(Table2[How comfortable is your centre? ],Condition_1,Table2[Were you happy with the way your complaint was dealt with?],"Not answered"))*100</f>
        <v>#DIV/0!</v>
      </c>
    </row>
    <row r="674" spans="1:4">
      <c r="A674" s="5" t="str">
        <f>'Validation List'!AT7</f>
        <v>No</v>
      </c>
      <c r="B674" s="3">
        <f>COUNTIFS(Table2[How comfortable is your centre? ],Condition_1,Table2[Were you happy with the way your complaint was dealt with?],A674)</f>
        <v>0</v>
      </c>
      <c r="C674" s="3" t="e">
        <f t="shared" si="94"/>
        <v>#DIV/0!</v>
      </c>
      <c r="D674" s="10" t="e">
        <f>B674/(No_who_answered_survey-COUNTIFS(Table2[How comfortable is your centre? ],Condition_1,Table2[Were you happy with the way your complaint was dealt with?],"Not answered"))*100</f>
        <v>#DIV/0!</v>
      </c>
    </row>
    <row r="675" spans="1:4">
      <c r="A675" s="5" t="str">
        <f>'Validation List'!AT8</f>
        <v>Not applicable to me</v>
      </c>
      <c r="B675" s="3">
        <f>COUNTIFS(Table2[How comfortable is your centre? ],Condition_1,Table2[Were you happy with the way your complaint was dealt with?],A675)</f>
        <v>0</v>
      </c>
      <c r="C675" s="3" t="e">
        <f t="shared" si="94"/>
        <v>#DIV/0!</v>
      </c>
      <c r="D675" s="10" t="e">
        <f>B675/(No_who_answered_survey-COUNTIFS(Table2[How comfortable is your centre? ],Condition_1,Table2[Were you happy with the way your complaint was dealt with?],"Not answered"))*100</f>
        <v>#DIV/0!</v>
      </c>
    </row>
    <row r="676" spans="1:4">
      <c r="A676" s="5">
        <f>'Validation List'!AT9</f>
        <v>0</v>
      </c>
      <c r="B676" s="3">
        <f>COUNTIFS(Table2[How comfortable is your centre? ],Condition_1,Table2[Were you happy with the way your complaint was dealt with?],A676)</f>
        <v>0</v>
      </c>
      <c r="C676" s="3" t="e">
        <f t="shared" si="94"/>
        <v>#DIV/0!</v>
      </c>
      <c r="D676" s="10" t="e">
        <f>B676/(No_who_answered_survey-COUNTIFS(Table2[How comfortable is your centre? ],Condition_1,Table2[Were you happy with the way your complaint was dealt with?],"Not answered"))*100</f>
        <v>#DIV/0!</v>
      </c>
    </row>
    <row r="677" spans="1:4">
      <c r="A677" s="5">
        <f>'Validation List'!AT10</f>
        <v>0</v>
      </c>
      <c r="B677" s="3">
        <f>COUNTIFS(Table2[How comfortable is your centre? ],Condition_1,Table2[Were you happy with the way your complaint was dealt with?],A677)</f>
        <v>0</v>
      </c>
      <c r="C677" s="3" t="e">
        <f t="shared" si="94"/>
        <v>#DIV/0!</v>
      </c>
      <c r="D677" s="10" t="e">
        <f>B677/(No_who_answered_survey-COUNTIFS(Table2[How comfortable is your centre? ],Condition_1,Table2[Were you happy with the way your complaint was dealt with?],"Not answered"))*100</f>
        <v>#DIV/0!</v>
      </c>
    </row>
    <row r="678" spans="1:4">
      <c r="A678" s="5">
        <f>'Validation List'!AT11</f>
        <v>0</v>
      </c>
      <c r="B678" s="3">
        <f>COUNTIFS(Table2[How comfortable is your centre? ],Condition_1,Table2[Were you happy with the way your complaint was dealt with?],A678)</f>
        <v>0</v>
      </c>
      <c r="C678" s="3" t="e">
        <f t="shared" ref="C678:C681" si="95">B678/No_who_answered_survey*100</f>
        <v>#DIV/0!</v>
      </c>
      <c r="D678" s="10" t="e">
        <f>B678/(No_who_answered_survey-COUNTIFS(Table2[How comfortable is your centre? ],Condition_1,Table2[Were you happy with the way your complaint was dealt with?],"Not answered"))*100</f>
        <v>#DIV/0!</v>
      </c>
    </row>
    <row r="679" spans="1:4">
      <c r="A679" s="5" t="str">
        <f>'Validation List'!AT12</f>
        <v>.</v>
      </c>
      <c r="B679" s="3">
        <f>COUNTIFS(Table2[How comfortable is your centre? ],Condition_1,Table2[Were you happy with the way your complaint was dealt with?],A679)</f>
        <v>0</v>
      </c>
      <c r="C679" s="3" t="e">
        <f t="shared" si="95"/>
        <v>#DIV/0!</v>
      </c>
      <c r="D679" s="10" t="e">
        <f>B679/(No_who_answered_survey-COUNTIFS(Table2[How comfortable is your centre? ],Condition_1,Table2[Were you happy with the way your complaint was dealt with?],"Not answered"))*100</f>
        <v>#DIV/0!</v>
      </c>
    </row>
    <row r="680" spans="1:4">
      <c r="A680" s="5" t="str">
        <f>'Validation List'!AT13</f>
        <v>.</v>
      </c>
      <c r="B680" s="3">
        <f>COUNTIFS(Table2[How comfortable is your centre? ],Condition_1,Table2[Were you happy with the way your complaint was dealt with?],A680)</f>
        <v>0</v>
      </c>
      <c r="C680" s="3" t="e">
        <f t="shared" si="95"/>
        <v>#DIV/0!</v>
      </c>
      <c r="D680" s="10" t="e">
        <f>B680/(No_who_answered_survey-COUNTIFS(Table2[How comfortable is your centre? ],Condition_1,Table2[Were you happy with the way your complaint was dealt with?],"Not answered"))*100</f>
        <v>#DIV/0!</v>
      </c>
    </row>
    <row r="681" spans="1:4">
      <c r="A681" s="5" t="str">
        <f>'Validation List'!AT14</f>
        <v>.</v>
      </c>
      <c r="B681" s="3">
        <f>COUNTIFS(Table2[How comfortable is your centre? ],Condition_1,Table2[Were you happy with the way your complaint was dealt with?],A681)</f>
        <v>0</v>
      </c>
      <c r="C681" s="3" t="e">
        <f t="shared" si="95"/>
        <v>#DIV/0!</v>
      </c>
      <c r="D681" s="10" t="e">
        <f>B681/(No_who_answered_survey-COUNTIFS(Table2[How comfortable is your centre? ],Condition_1,Table2[Were you happy with the way your complaint was dealt with?],"Not answered"))*100</f>
        <v>#DIV/0!</v>
      </c>
    </row>
    <row r="682" spans="1:4">
      <c r="A682" s="5" t="str">
        <f>'Validation List'!AT15</f>
        <v>Not answered</v>
      </c>
      <c r="B682" s="3">
        <f>COUNTIFS(Table2[How comfortable is your centre? ],Condition_1,Table2[Were you happy with the way your complaint was dealt with?],A682)</f>
        <v>0</v>
      </c>
      <c r="C682" s="3" t="e">
        <f t="shared" si="94"/>
        <v>#DIV/0!</v>
      </c>
      <c r="D682" s="10"/>
    </row>
    <row r="683" spans="1:4">
      <c r="A683" s="5" t="s">
        <v>39</v>
      </c>
      <c r="B683" s="3">
        <f>SUM(B673:B682)</f>
        <v>0</v>
      </c>
      <c r="C683" s="3" t="e">
        <f t="shared" ref="C683:D683" si="96">SUM(C673:C682)</f>
        <v>#DIV/0!</v>
      </c>
      <c r="D683" s="3" t="e">
        <f t="shared" si="96"/>
        <v>#DIV/0!</v>
      </c>
    </row>
    <row r="684" spans="1:4">
      <c r="A684" s="2"/>
      <c r="B684" s="8"/>
      <c r="C684" s="8"/>
      <c r="D684" s="11"/>
    </row>
    <row r="685" spans="1:4">
      <c r="A685" s="2"/>
      <c r="B685" s="8"/>
      <c r="C685" s="8"/>
      <c r="D685" s="11"/>
    </row>
    <row r="686" spans="1:4">
      <c r="A686" s="58" t="str">
        <f>'Validation List'!AU3</f>
        <v xml:space="preserve">Person completing this form </v>
      </c>
      <c r="B686" s="59"/>
      <c r="C686" s="59"/>
      <c r="D686" s="60"/>
    </row>
    <row r="687" spans="1:4">
      <c r="A687" s="5"/>
      <c r="B687" s="3" t="s">
        <v>37</v>
      </c>
      <c r="C687" s="3" t="s">
        <v>38</v>
      </c>
      <c r="D687" s="10" t="s">
        <v>40</v>
      </c>
    </row>
    <row r="688" spans="1:4">
      <c r="A688" s="5" t="str">
        <f>'Validation List'!AU6</f>
        <v>Resident</v>
      </c>
      <c r="B688" s="3">
        <f>COUNTIFS(Table2[How comfortable is your centre? ],Condition_1,Table2[[Person completing this form ]],A688)</f>
        <v>0</v>
      </c>
      <c r="C688" s="3" t="e">
        <f t="shared" ref="C688:C697" si="97">B688/No_who_answered_survey*100</f>
        <v>#DIV/0!</v>
      </c>
      <c r="D688" s="10" t="e">
        <f>B688/(No_who_answered_survey-COUNTIFS(Table2[How comfortable is your centre? ],Condition_1,Table2[[Person completing this form ]],"Not answered"))*100</f>
        <v>#DIV/0!</v>
      </c>
    </row>
    <row r="689" spans="1:4">
      <c r="A689" s="5" t="str">
        <f>'Validation List'!AU7</f>
        <v>Relative or friend</v>
      </c>
      <c r="B689" s="3">
        <f>COUNTIFS(Table2[How comfortable is your centre? ],Condition_1,Table2[[Person completing this form ]],A689)</f>
        <v>0</v>
      </c>
      <c r="C689" s="3" t="e">
        <f t="shared" si="97"/>
        <v>#DIV/0!</v>
      </c>
      <c r="D689" s="10" t="e">
        <f>B689/(No_who_answered_survey-COUNTIFS(Table2[How comfortable is your centre? ],Condition_1,Table2[[Person completing this form ]],"Not answered"))*100</f>
        <v>#DIV/0!</v>
      </c>
    </row>
    <row r="690" spans="1:4">
      <c r="A690" s="5" t="str">
        <f>'Validation List'!AU8</f>
        <v>Staff member</v>
      </c>
      <c r="B690" s="3">
        <f>COUNTIFS(Table2[How comfortable is your centre? ],Condition_1,Table2[[Person completing this form ]],A690)</f>
        <v>0</v>
      </c>
      <c r="C690" s="3" t="e">
        <f t="shared" si="97"/>
        <v>#DIV/0!</v>
      </c>
      <c r="D690" s="10" t="e">
        <f>B690/(No_who_answered_survey-COUNTIFS(Table2[How comfortable is your centre? ],Condition_1,Table2[[Person completing this form ]],"Not answered"))*100</f>
        <v>#DIV/0!</v>
      </c>
    </row>
    <row r="691" spans="1:4">
      <c r="A691" s="5" t="str">
        <f>'Validation List'!AU9</f>
        <v>Other</v>
      </c>
      <c r="B691" s="3">
        <f>COUNTIFS(Table2[How comfortable is your centre? ],Condition_1,Table2[[Person completing this form ]],A691)</f>
        <v>0</v>
      </c>
      <c r="C691" s="3" t="e">
        <f t="shared" si="97"/>
        <v>#DIV/0!</v>
      </c>
      <c r="D691" s="10" t="e">
        <f>B691/(No_who_answered_survey-COUNTIFS(Table2[How comfortable is your centre? ],Condition_1,Table2[[Person completing this form ]],"Not answered"))*100</f>
        <v>#DIV/0!</v>
      </c>
    </row>
    <row r="692" spans="1:4">
      <c r="A692" s="5" t="str">
        <f>'Validation List'!AU10</f>
        <v>.</v>
      </c>
      <c r="B692" s="3">
        <f>COUNTIFS(Table2[How comfortable is your centre? ],Condition_1,Table2[[Person completing this form ]],A692)</f>
        <v>0</v>
      </c>
      <c r="C692" s="3" t="e">
        <f t="shared" si="97"/>
        <v>#DIV/0!</v>
      </c>
      <c r="D692" s="10" t="e">
        <f>B692/(No_who_answered_survey-COUNTIFS(Table2[How comfortable is your centre? ],Condition_1,Table2[[Person completing this form ]],"Not answered"))*100</f>
        <v>#DIV/0!</v>
      </c>
    </row>
    <row r="693" spans="1:4">
      <c r="A693" s="5" t="str">
        <f>'Validation List'!AU11</f>
        <v>.</v>
      </c>
      <c r="B693" s="3">
        <f>COUNTIFS(Table2[How comfortable is your centre? ],Condition_1,Table2[[Person completing this form ]],A693)</f>
        <v>0</v>
      </c>
      <c r="C693" s="3" t="e">
        <f t="shared" ref="C693:C696" si="98">B693/No_who_answered_survey*100</f>
        <v>#DIV/0!</v>
      </c>
      <c r="D693" s="10" t="e">
        <f>B693/(No_who_answered_survey-COUNTIFS(Table2[How comfortable is your centre? ],Condition_1,Table2[[Person completing this form ]],"Not answered"))*100</f>
        <v>#DIV/0!</v>
      </c>
    </row>
    <row r="694" spans="1:4">
      <c r="A694" s="5" t="str">
        <f>'Validation List'!AU12</f>
        <v>.</v>
      </c>
      <c r="B694" s="3">
        <f>COUNTIFS(Table2[How comfortable is your centre? ],Condition_1,Table2[[Person completing this form ]],A694)</f>
        <v>0</v>
      </c>
      <c r="C694" s="3" t="e">
        <f t="shared" si="98"/>
        <v>#DIV/0!</v>
      </c>
      <c r="D694" s="10" t="e">
        <f>B694/(No_who_answered_survey-COUNTIFS(Table2[How comfortable is your centre? ],Condition_1,Table2[[Person completing this form ]],"Not answered"))*100</f>
        <v>#DIV/0!</v>
      </c>
    </row>
    <row r="695" spans="1:4">
      <c r="A695" s="5" t="str">
        <f>'Validation List'!AU13</f>
        <v>.</v>
      </c>
      <c r="B695" s="3">
        <f>COUNTIFS(Table2[How comfortable is your centre? ],Condition_1,Table2[[Person completing this form ]],A695)</f>
        <v>0</v>
      </c>
      <c r="C695" s="3" t="e">
        <f t="shared" si="98"/>
        <v>#DIV/0!</v>
      </c>
      <c r="D695" s="10" t="e">
        <f>B695/(No_who_answered_survey-COUNTIFS(Table2[How comfortable is your centre? ],Condition_1,Table2[[Person completing this form ]],"Not answered"))*100</f>
        <v>#DIV/0!</v>
      </c>
    </row>
    <row r="696" spans="1:4">
      <c r="A696" s="5" t="str">
        <f>'Validation List'!AU14</f>
        <v>.</v>
      </c>
      <c r="B696" s="3">
        <f>COUNTIFS(Table2[How comfortable is your centre? ],Condition_1,Table2[[Person completing this form ]],A696)</f>
        <v>0</v>
      </c>
      <c r="C696" s="3" t="e">
        <f t="shared" si="98"/>
        <v>#DIV/0!</v>
      </c>
      <c r="D696" s="10" t="e">
        <f>B696/(No_who_answered_survey-COUNTIFS(Table2[How comfortable is your centre? ],Condition_1,Table2[[Person completing this form ]],"Not answered"))*100</f>
        <v>#DIV/0!</v>
      </c>
    </row>
    <row r="697" spans="1:4">
      <c r="A697" s="5" t="str">
        <f>'Validation List'!AU15</f>
        <v>Not answered</v>
      </c>
      <c r="B697" s="3">
        <f>COUNTIFS(Table2[How comfortable is your centre? ],Condition_1,Table2[[Person completing this form ]],A697)</f>
        <v>0</v>
      </c>
      <c r="C697" s="3" t="e">
        <f t="shared" si="97"/>
        <v>#DIV/0!</v>
      </c>
      <c r="D697" s="10"/>
    </row>
    <row r="698" spans="1:4">
      <c r="A698" s="5" t="s">
        <v>39</v>
      </c>
      <c r="B698" s="3">
        <f>SUM(B688:B697)</f>
        <v>0</v>
      </c>
      <c r="C698" s="3" t="e">
        <f t="shared" ref="C698:D698" si="99">SUM(C688:C697)</f>
        <v>#DIV/0!</v>
      </c>
      <c r="D698" s="3" t="e">
        <f t="shared" si="99"/>
        <v>#DIV/0!</v>
      </c>
    </row>
    <row r="699" spans="1:4">
      <c r="A699" s="2"/>
      <c r="B699" s="8"/>
      <c r="C699" s="8"/>
      <c r="D699" s="11"/>
    </row>
    <row r="700" spans="1:4">
      <c r="A700" s="2"/>
      <c r="B700" s="8"/>
      <c r="C700" s="8"/>
      <c r="D700" s="11"/>
    </row>
    <row r="701" spans="1:4">
      <c r="A701" s="58" t="str">
        <f>'Validation List'!AV3</f>
        <v>Would you like the PIC  to contact you to discuss anything in this questionnaire</v>
      </c>
      <c r="B701" s="59"/>
      <c r="C701" s="59"/>
      <c r="D701" s="60"/>
    </row>
    <row r="702" spans="1:4">
      <c r="A702" s="5"/>
      <c r="B702" s="3" t="s">
        <v>37</v>
      </c>
      <c r="C702" s="3" t="s">
        <v>38</v>
      </c>
      <c r="D702" s="10" t="s">
        <v>40</v>
      </c>
    </row>
    <row r="703" spans="1:4">
      <c r="A703" s="5" t="str">
        <f>'Validation List'!AV6</f>
        <v>Yes</v>
      </c>
      <c r="B703" s="3">
        <f>COUNTIFS(Table2[How comfortable is your centre? ],Condition_1,Table2[Would you like the PIC  to contact you to discuss anything in this questionnaire],A703)</f>
        <v>0</v>
      </c>
      <c r="C703" s="3" t="e">
        <f t="shared" ref="C703:C712" si="100">B703/No_who_answered_survey*100</f>
        <v>#DIV/0!</v>
      </c>
      <c r="D703" s="10" t="e">
        <f>B703/(No_who_answered_survey-COUNTIFS(Table2[How comfortable is your centre? ],Condition_1,Table2[Would you like the PIC  to contact you to discuss anything in this questionnaire],"Not answered"))*100</f>
        <v>#DIV/0!</v>
      </c>
    </row>
    <row r="704" spans="1:4">
      <c r="A704" s="5" t="str">
        <f>'Validation List'!AV7</f>
        <v>No</v>
      </c>
      <c r="B704" s="3">
        <f>COUNTIFS(Table2[How comfortable is your centre? ],Condition_1,Table2[Would you like the PIC  to contact you to discuss anything in this questionnaire],A704)</f>
        <v>0</v>
      </c>
      <c r="C704" s="3" t="e">
        <f t="shared" si="100"/>
        <v>#DIV/0!</v>
      </c>
      <c r="D704" s="10" t="e">
        <f>B704/(No_who_answered_survey-COUNTIFS(Table2[How comfortable is your centre? ],Condition_1,Table2[Would you like the PIC  to contact you to discuss anything in this questionnaire],"Not answered"))*100</f>
        <v>#DIV/0!</v>
      </c>
    </row>
    <row r="705" spans="1:4">
      <c r="A705" s="5" t="str">
        <f>'Validation List'!AV8</f>
        <v>.</v>
      </c>
      <c r="B705" s="3">
        <f>COUNTIFS(Table2[How comfortable is your centre? ],Condition_1,Table2[Would you like the PIC  to contact you to discuss anything in this questionnaire],A705)</f>
        <v>0</v>
      </c>
      <c r="C705" s="3" t="e">
        <f t="shared" si="100"/>
        <v>#DIV/0!</v>
      </c>
      <c r="D705" s="10" t="e">
        <f>B705/(No_who_answered_survey-COUNTIFS(Table2[How comfortable is your centre? ],Condition_1,Table2[Would you like the PIC  to contact you to discuss anything in this questionnaire],"Not answered"))*100</f>
        <v>#DIV/0!</v>
      </c>
    </row>
    <row r="706" spans="1:4">
      <c r="A706" s="5" t="str">
        <f>'Validation List'!AV9</f>
        <v>.</v>
      </c>
      <c r="B706" s="3">
        <f>COUNTIFS(Table2[How comfortable is your centre? ],Condition_1,Table2[Would you like the PIC  to contact you to discuss anything in this questionnaire],A706)</f>
        <v>0</v>
      </c>
      <c r="C706" s="3" t="e">
        <f t="shared" si="100"/>
        <v>#DIV/0!</v>
      </c>
      <c r="D706" s="10" t="e">
        <f>B706/(No_who_answered_survey-COUNTIFS(Table2[How comfortable is your centre? ],Condition_1,Table2[Would you like the PIC  to contact you to discuss anything in this questionnaire],"Not answered"))*100</f>
        <v>#DIV/0!</v>
      </c>
    </row>
    <row r="707" spans="1:4">
      <c r="A707" s="5" t="str">
        <f>'Validation List'!AV10</f>
        <v>.</v>
      </c>
      <c r="B707" s="3">
        <f>COUNTIFS(Table2[How comfortable is your centre? ],Condition_1,Table2[Would you like the PIC  to contact you to discuss anything in this questionnaire],A707)</f>
        <v>0</v>
      </c>
      <c r="C707" s="3" t="e">
        <f t="shared" si="100"/>
        <v>#DIV/0!</v>
      </c>
      <c r="D707" s="10" t="e">
        <f>B707/(No_who_answered_survey-COUNTIFS(Table2[How comfortable is your centre? ],Condition_1,Table2[Would you like the PIC  to contact you to discuss anything in this questionnaire],"Not answered"))*100</f>
        <v>#DIV/0!</v>
      </c>
    </row>
    <row r="708" spans="1:4">
      <c r="A708" s="5" t="str">
        <f>'Validation List'!AV11</f>
        <v>.</v>
      </c>
      <c r="B708" s="3">
        <f>COUNTIFS(Table2[How comfortable is your centre? ],Condition_1,Table2[Would you like the PIC  to contact you to discuss anything in this questionnaire],A708)</f>
        <v>0</v>
      </c>
      <c r="C708" s="3" t="e">
        <f t="shared" ref="C708:C711" si="101">B708/No_who_answered_survey*100</f>
        <v>#DIV/0!</v>
      </c>
      <c r="D708" s="10" t="e">
        <f>B708/(No_who_answered_survey-COUNTIFS(Table2[How comfortable is your centre? ],Condition_1,Table2[Would you like the PIC  to contact you to discuss anything in this questionnaire],"Not answered"))*100</f>
        <v>#DIV/0!</v>
      </c>
    </row>
    <row r="709" spans="1:4">
      <c r="A709" s="5" t="str">
        <f>'Validation List'!AV12</f>
        <v>.</v>
      </c>
      <c r="B709" s="3">
        <f>COUNTIFS(Table2[How comfortable is your centre? ],Condition_1,Table2[Would you like the PIC  to contact you to discuss anything in this questionnaire],A709)</f>
        <v>0</v>
      </c>
      <c r="C709" s="3" t="e">
        <f t="shared" si="101"/>
        <v>#DIV/0!</v>
      </c>
      <c r="D709" s="10" t="e">
        <f>B709/(No_who_answered_survey-COUNTIFS(Table2[How comfortable is your centre? ],Condition_1,Table2[Would you like the PIC  to contact you to discuss anything in this questionnaire],"Not answered"))*100</f>
        <v>#DIV/0!</v>
      </c>
    </row>
    <row r="710" spans="1:4">
      <c r="A710" s="5" t="str">
        <f>'Validation List'!AV13</f>
        <v>.</v>
      </c>
      <c r="B710" s="3">
        <f>COUNTIFS(Table2[How comfortable is your centre? ],Condition_1,Table2[Would you like the PIC  to contact you to discuss anything in this questionnaire],A710)</f>
        <v>0</v>
      </c>
      <c r="C710" s="3" t="e">
        <f t="shared" si="101"/>
        <v>#DIV/0!</v>
      </c>
      <c r="D710" s="10" t="e">
        <f>B710/(No_who_answered_survey-COUNTIFS(Table2[How comfortable is your centre? ],Condition_1,Table2[Would you like the PIC  to contact you to discuss anything in this questionnaire],"Not answered"))*100</f>
        <v>#DIV/0!</v>
      </c>
    </row>
    <row r="711" spans="1:4">
      <c r="A711" s="5" t="str">
        <f>'Validation List'!AV14</f>
        <v>.</v>
      </c>
      <c r="B711" s="3">
        <f>COUNTIFS(Table2[How comfortable is your centre? ],Condition_1,Table2[Would you like the PIC  to contact you to discuss anything in this questionnaire],A711)</f>
        <v>0</v>
      </c>
      <c r="C711" s="3" t="e">
        <f t="shared" si="101"/>
        <v>#DIV/0!</v>
      </c>
      <c r="D711" s="10" t="e">
        <f>B711/(No_who_answered_survey-COUNTIFS(Table2[How comfortable is your centre? ],Condition_1,Table2[Would you like the PIC  to contact you to discuss anything in this questionnaire],"Not answered"))*100</f>
        <v>#DIV/0!</v>
      </c>
    </row>
    <row r="712" spans="1:4">
      <c r="A712" s="5" t="str">
        <f>'Validation List'!AV15</f>
        <v>Not answered</v>
      </c>
      <c r="B712" s="3">
        <f>COUNTIFS(Table2[How comfortable is your centre? ],Condition_1,Table2[Would you like the PIC  to contact you to discuss anything in this questionnaire],A712)</f>
        <v>0</v>
      </c>
      <c r="C712" s="3" t="e">
        <f t="shared" si="100"/>
        <v>#DIV/0!</v>
      </c>
      <c r="D712" s="10"/>
    </row>
    <row r="713" spans="1:4">
      <c r="A713" s="5" t="s">
        <v>39</v>
      </c>
      <c r="B713" s="3">
        <f>SUM(B703:B712)</f>
        <v>0</v>
      </c>
      <c r="C713" s="3" t="e">
        <f t="shared" ref="C713:D713" si="102">SUM(C703:C712)</f>
        <v>#DIV/0!</v>
      </c>
      <c r="D713" s="3" t="e">
        <f t="shared" si="102"/>
        <v>#DIV/0!</v>
      </c>
    </row>
    <row r="714" spans="1:4">
      <c r="A714" s="2"/>
      <c r="B714" s="8"/>
      <c r="C714" s="8"/>
      <c r="D714" s="11"/>
    </row>
    <row r="715" spans="1:4">
      <c r="A715" s="2"/>
      <c r="B715" s="8"/>
      <c r="C715" s="8"/>
      <c r="D715" s="11"/>
    </row>
    <row r="716" spans="1:4">
      <c r="A716" s="58">
        <f>'Validation List'!AW3</f>
        <v>0</v>
      </c>
      <c r="B716" s="59"/>
      <c r="C716" s="59"/>
      <c r="D716" s="60"/>
    </row>
    <row r="717" spans="1:4">
      <c r="A717" s="5"/>
      <c r="B717" s="3" t="s">
        <v>37</v>
      </c>
      <c r="C717" s="3" t="s">
        <v>38</v>
      </c>
      <c r="D717" s="10" t="s">
        <v>40</v>
      </c>
    </row>
    <row r="718" spans="1:4">
      <c r="A718" s="5">
        <f>'Validation List'!AW6</f>
        <v>0</v>
      </c>
      <c r="B718" s="3">
        <f>COUNTIFS(Table2[How comfortable is your centre? ],Condition_1,Table2[Column1],A718)</f>
        <v>0</v>
      </c>
      <c r="C718" s="3" t="e">
        <f t="shared" ref="C718:C727" si="103">B718/No_who_answered_survey*100</f>
        <v>#DIV/0!</v>
      </c>
      <c r="D718" s="10" t="e">
        <f>B718/(No_who_answered_survey-COUNTIFS(Table2[How comfortable is your centre? ],Condition_1,Table2[Column1],"Not answered"))*100</f>
        <v>#DIV/0!</v>
      </c>
    </row>
    <row r="719" spans="1:4">
      <c r="A719" s="5">
        <f>'Validation List'!AW7</f>
        <v>0</v>
      </c>
      <c r="B719" s="3">
        <f>COUNTIFS(Table2[How comfortable is your centre? ],Condition_1,Table2[Column1],A719)</f>
        <v>0</v>
      </c>
      <c r="C719" s="3" t="e">
        <f t="shared" si="103"/>
        <v>#DIV/0!</v>
      </c>
      <c r="D719" s="10" t="e">
        <f>B719/(No_who_answered_survey-COUNTIFS(Table2[How comfortable is your centre? ],Condition_1,Table2[Column1],"Not answered"))*100</f>
        <v>#DIV/0!</v>
      </c>
    </row>
    <row r="720" spans="1:4">
      <c r="A720" s="5" t="str">
        <f>'Validation List'!AW8</f>
        <v>.</v>
      </c>
      <c r="B720" s="3">
        <f>COUNTIFS(Table2[How comfortable is your centre? ],Condition_1,Table2[Column1],A720)</f>
        <v>0</v>
      </c>
      <c r="C720" s="3" t="e">
        <f t="shared" si="103"/>
        <v>#DIV/0!</v>
      </c>
      <c r="D720" s="10" t="e">
        <f>B720/(No_who_answered_survey-COUNTIFS(Table2[How comfortable is your centre? ],Condition_1,Table2[Column1],"Not answered"))*100</f>
        <v>#DIV/0!</v>
      </c>
    </row>
    <row r="721" spans="1:4">
      <c r="A721" s="5" t="str">
        <f>'Validation List'!AW9</f>
        <v>.</v>
      </c>
      <c r="B721" s="3">
        <f>COUNTIFS(Table2[How comfortable is your centre? ],Condition_1,Table2[Column1],A721)</f>
        <v>0</v>
      </c>
      <c r="C721" s="3" t="e">
        <f t="shared" si="103"/>
        <v>#DIV/0!</v>
      </c>
      <c r="D721" s="10" t="e">
        <f>B721/(No_who_answered_survey-COUNTIFS(Table2[How comfortable is your centre? ],Condition_1,Table2[Column1],"Not answered"))*100</f>
        <v>#DIV/0!</v>
      </c>
    </row>
    <row r="722" spans="1:4">
      <c r="A722" s="5" t="str">
        <f>'Validation List'!AW10</f>
        <v>.</v>
      </c>
      <c r="B722" s="3">
        <f>COUNTIFS(Table2[How comfortable is your centre? ],Condition_1,Table2[Column1],A722)</f>
        <v>0</v>
      </c>
      <c r="C722" s="3" t="e">
        <f t="shared" si="103"/>
        <v>#DIV/0!</v>
      </c>
      <c r="D722" s="10" t="e">
        <f>B722/(No_who_answered_survey-COUNTIFS(Table2[How comfortable is your centre? ],Condition_1,Table2[Column1],"Not answered"))*100</f>
        <v>#DIV/0!</v>
      </c>
    </row>
    <row r="723" spans="1:4">
      <c r="A723" s="5" t="str">
        <f>'Validation List'!AW11</f>
        <v>.</v>
      </c>
      <c r="B723" s="3">
        <f>COUNTIFS(Table2[How comfortable is your centre? ],Condition_1,Table2[Column1],A723)</f>
        <v>0</v>
      </c>
      <c r="C723" s="3" t="e">
        <f t="shared" ref="C723:C726" si="104">B723/No_who_answered_survey*100</f>
        <v>#DIV/0!</v>
      </c>
      <c r="D723" s="10" t="e">
        <f>B723/(No_who_answered_survey-COUNTIFS(Table2[How comfortable is your centre? ],Condition_1,Table2[Column1],"Not answered"))*100</f>
        <v>#DIV/0!</v>
      </c>
    </row>
    <row r="724" spans="1:4">
      <c r="A724" s="5" t="str">
        <f>'Validation List'!AW12</f>
        <v>.</v>
      </c>
      <c r="B724" s="3">
        <f>COUNTIFS(Table2[How comfortable is your centre? ],Condition_1,Table2[Column1],A724)</f>
        <v>0</v>
      </c>
      <c r="C724" s="3" t="e">
        <f t="shared" si="104"/>
        <v>#DIV/0!</v>
      </c>
      <c r="D724" s="10" t="e">
        <f>B724/(No_who_answered_survey-COUNTIFS(Table2[How comfortable is your centre? ],Condition_1,Table2[Column1],"Not answered"))*100</f>
        <v>#DIV/0!</v>
      </c>
    </row>
    <row r="725" spans="1:4">
      <c r="A725" s="5" t="str">
        <f>'Validation List'!AW13</f>
        <v>.</v>
      </c>
      <c r="B725" s="3">
        <f>COUNTIFS(Table2[How comfortable is your centre? ],Condition_1,Table2[Column1],A725)</f>
        <v>0</v>
      </c>
      <c r="C725" s="3" t="e">
        <f t="shared" si="104"/>
        <v>#DIV/0!</v>
      </c>
      <c r="D725" s="10" t="e">
        <f>B725/(No_who_answered_survey-COUNTIFS(Table2[How comfortable is your centre? ],Condition_1,Table2[Column1],"Not answered"))*100</f>
        <v>#DIV/0!</v>
      </c>
    </row>
    <row r="726" spans="1:4">
      <c r="A726" s="5" t="str">
        <f>'Validation List'!AW14</f>
        <v>.</v>
      </c>
      <c r="B726" s="3">
        <f>COUNTIFS(Table2[How comfortable is your centre? ],Condition_1,Table2[Column1],A726)</f>
        <v>0</v>
      </c>
      <c r="C726" s="3" t="e">
        <f t="shared" si="104"/>
        <v>#DIV/0!</v>
      </c>
      <c r="D726" s="10" t="e">
        <f>B726/(No_who_answered_survey-COUNTIFS(Table2[How comfortable is your centre? ],Condition_1,Table2[Column1],"Not answered"))*100</f>
        <v>#DIV/0!</v>
      </c>
    </row>
    <row r="727" spans="1:4">
      <c r="A727" s="5" t="str">
        <f>'Validation List'!AW15</f>
        <v>Not answered</v>
      </c>
      <c r="B727" s="3">
        <f>COUNTIFS(Table2[How comfortable is your centre? ],Condition_1,Table2[Column1],A727)</f>
        <v>0</v>
      </c>
      <c r="C727" s="3" t="e">
        <f t="shared" si="103"/>
        <v>#DIV/0!</v>
      </c>
      <c r="D727" s="10"/>
    </row>
    <row r="728" spans="1:4">
      <c r="A728" s="5" t="s">
        <v>39</v>
      </c>
      <c r="B728" s="3">
        <f>SUM(B718:B727)</f>
        <v>0</v>
      </c>
      <c r="C728" s="3" t="e">
        <f t="shared" ref="C728:D728" si="105">SUM(C718:C727)</f>
        <v>#DIV/0!</v>
      </c>
      <c r="D728" s="3" t="e">
        <f t="shared" si="105"/>
        <v>#DIV/0!</v>
      </c>
    </row>
    <row r="729" spans="1:4">
      <c r="A729" s="2"/>
      <c r="B729" s="8"/>
      <c r="C729" s="8"/>
      <c r="D729" s="11"/>
    </row>
    <row r="730" spans="1:4">
      <c r="A730" s="2"/>
      <c r="B730" s="8"/>
      <c r="C730" s="8"/>
      <c r="D730" s="11"/>
    </row>
    <row r="731" spans="1:4">
      <c r="A731" s="58" t="str">
        <f>'Validation List'!AX3</f>
        <v>Question49</v>
      </c>
      <c r="B731" s="59"/>
      <c r="C731" s="59"/>
      <c r="D731" s="60"/>
    </row>
    <row r="732" spans="1:4">
      <c r="A732" s="5"/>
      <c r="B732" s="3" t="s">
        <v>37</v>
      </c>
      <c r="C732" s="3" t="s">
        <v>38</v>
      </c>
      <c r="D732" s="10" t="s">
        <v>40</v>
      </c>
    </row>
    <row r="733" spans="1:4">
      <c r="A733" s="5">
        <f>'Validation List'!AX6</f>
        <v>0</v>
      </c>
      <c r="B733" s="3">
        <f>COUNTIFS(Table2[How comfortable is your centre? ],Condition_1,Table2[Column49],A733)</f>
        <v>0</v>
      </c>
      <c r="C733" s="3" t="e">
        <f t="shared" ref="C733:C742" si="106">B733/No_who_answered_survey*100</f>
        <v>#DIV/0!</v>
      </c>
      <c r="D733" s="10" t="e">
        <f>B733/(No_who_answered_survey-COUNTIFS(Table2[How comfortable is your centre? ],Condition_1,Table2[Column49],"Not answered"))*100</f>
        <v>#DIV/0!</v>
      </c>
    </row>
    <row r="734" spans="1:4">
      <c r="A734" s="5">
        <f>'Validation List'!AX7</f>
        <v>0</v>
      </c>
      <c r="B734" s="3">
        <f>COUNTIFS(Table2[How comfortable is your centre? ],Condition_1,Table2[Column49],A734)</f>
        <v>0</v>
      </c>
      <c r="C734" s="3" t="e">
        <f t="shared" si="106"/>
        <v>#DIV/0!</v>
      </c>
      <c r="D734" s="10" t="e">
        <f>B734/(No_who_answered_survey-COUNTIFS(Table2[How comfortable is your centre? ],Condition_1,Table2[Column49],"Not answered"))*100</f>
        <v>#DIV/0!</v>
      </c>
    </row>
    <row r="735" spans="1:4">
      <c r="A735" s="5">
        <f>'Validation List'!AX8</f>
        <v>0</v>
      </c>
      <c r="B735" s="3">
        <f>COUNTIFS(Table2[How comfortable is your centre? ],Condition_1,Table2[Column49],A735)</f>
        <v>0</v>
      </c>
      <c r="C735" s="3" t="e">
        <f t="shared" si="106"/>
        <v>#DIV/0!</v>
      </c>
      <c r="D735" s="10" t="e">
        <f>B735/(No_who_answered_survey-COUNTIFS(Table2[How comfortable is your centre? ],Condition_1,Table2[Column49],"Not answered"))*100</f>
        <v>#DIV/0!</v>
      </c>
    </row>
    <row r="736" spans="1:4">
      <c r="A736" s="5">
        <f>'Validation List'!AX9</f>
        <v>0</v>
      </c>
      <c r="B736" s="3">
        <f>COUNTIFS(Table2[How comfortable is your centre? ],Condition_1,Table2[Column49],A736)</f>
        <v>0</v>
      </c>
      <c r="C736" s="3" t="e">
        <f t="shared" si="106"/>
        <v>#DIV/0!</v>
      </c>
      <c r="D736" s="10" t="e">
        <f>B736/(No_who_answered_survey-COUNTIFS(Table2[How comfortable is your centre? ],Condition_1,Table2[Column49],"Not answered"))*100</f>
        <v>#DIV/0!</v>
      </c>
    </row>
    <row r="737" spans="1:4">
      <c r="A737" s="5">
        <f>'Validation List'!AX10</f>
        <v>0</v>
      </c>
      <c r="B737" s="3">
        <f>COUNTIFS(Table2[How comfortable is your centre? ],Condition_1,Table2[Column49],A737)</f>
        <v>0</v>
      </c>
      <c r="C737" s="3" t="e">
        <f t="shared" si="106"/>
        <v>#DIV/0!</v>
      </c>
      <c r="D737" s="10" t="e">
        <f>B737/(No_who_answered_survey-COUNTIFS(Table2[How comfortable is your centre? ],Condition_1,Table2[Column49],"Not answered"))*100</f>
        <v>#DIV/0!</v>
      </c>
    </row>
    <row r="738" spans="1:4">
      <c r="A738" s="5">
        <f>'Validation List'!AX11</f>
        <v>0</v>
      </c>
      <c r="B738" s="3">
        <f>COUNTIFS(Table2[How comfortable is your centre? ],Condition_1,Table2[Column49],A738)</f>
        <v>0</v>
      </c>
      <c r="C738" s="3" t="e">
        <f t="shared" ref="C738:C741" si="107">B738/No_who_answered_survey*100</f>
        <v>#DIV/0!</v>
      </c>
      <c r="D738" s="10" t="e">
        <f>B738/(No_who_answered_survey-COUNTIFS(Table2[How comfortable is your centre? ],Condition_1,Table2[Column49],"Not answered"))*100</f>
        <v>#DIV/0!</v>
      </c>
    </row>
    <row r="739" spans="1:4">
      <c r="A739" s="5">
        <f>'Validation List'!AX12</f>
        <v>0</v>
      </c>
      <c r="B739" s="3">
        <f>COUNTIFS(Table2[How comfortable is your centre? ],Condition_1,Table2[Column49],A739)</f>
        <v>0</v>
      </c>
      <c r="C739" s="3" t="e">
        <f t="shared" si="107"/>
        <v>#DIV/0!</v>
      </c>
      <c r="D739" s="10" t="e">
        <f>B739/(No_who_answered_survey-COUNTIFS(Table2[How comfortable is your centre? ],Condition_1,Table2[Column49],"Not answered"))*100</f>
        <v>#DIV/0!</v>
      </c>
    </row>
    <row r="740" spans="1:4">
      <c r="A740" s="5">
        <f>'Validation List'!AX13</f>
        <v>0</v>
      </c>
      <c r="B740" s="3">
        <f>COUNTIFS(Table2[How comfortable is your centre? ],Condition_1,Table2[Column49],A740)</f>
        <v>0</v>
      </c>
      <c r="C740" s="3" t="e">
        <f t="shared" si="107"/>
        <v>#DIV/0!</v>
      </c>
      <c r="D740" s="10" t="e">
        <f>B740/(No_who_answered_survey-COUNTIFS(Table2[How comfortable is your centre? ],Condition_1,Table2[Column49],"Not answered"))*100</f>
        <v>#DIV/0!</v>
      </c>
    </row>
    <row r="741" spans="1:4">
      <c r="A741" s="5">
        <f>'Validation List'!AX14</f>
        <v>0</v>
      </c>
      <c r="B741" s="3">
        <f>COUNTIFS(Table2[How comfortable is your centre? ],Condition_1,Table2[Column49],A741)</f>
        <v>0</v>
      </c>
      <c r="C741" s="3" t="e">
        <f t="shared" si="107"/>
        <v>#DIV/0!</v>
      </c>
      <c r="D741" s="10" t="e">
        <f>B741/(No_who_answered_survey-COUNTIFS(Table2[How comfortable is your centre? ],Condition_1,Table2[Column49],"Not answered"))*100</f>
        <v>#DIV/0!</v>
      </c>
    </row>
    <row r="742" spans="1:4">
      <c r="A742" s="5">
        <f>'Validation List'!AX15</f>
        <v>0</v>
      </c>
      <c r="B742" s="3">
        <f>COUNTIFS(Table2[How comfortable is your centre? ],Condition_1,Table2[Column49],A742)</f>
        <v>0</v>
      </c>
      <c r="C742" s="3" t="e">
        <f t="shared" si="106"/>
        <v>#DIV/0!</v>
      </c>
      <c r="D742" s="10"/>
    </row>
    <row r="743" spans="1:4">
      <c r="A743" s="5" t="s">
        <v>39</v>
      </c>
      <c r="B743" s="3">
        <f>SUM(B733:B742)</f>
        <v>0</v>
      </c>
      <c r="C743" s="3" t="e">
        <f t="shared" ref="C743:D743" si="108">SUM(C733:C742)</f>
        <v>#DIV/0!</v>
      </c>
      <c r="D743" s="3" t="e">
        <f t="shared" si="108"/>
        <v>#DIV/0!</v>
      </c>
    </row>
    <row r="744" spans="1:4">
      <c r="A744" s="2"/>
      <c r="B744" s="8"/>
      <c r="C744" s="8"/>
      <c r="D744" s="11"/>
    </row>
    <row r="745" spans="1:4">
      <c r="A745" s="2"/>
      <c r="B745" s="8"/>
      <c r="C745" s="8"/>
      <c r="D745" s="11"/>
    </row>
    <row r="746" spans="1:4">
      <c r="A746" s="58" t="str">
        <f>'Validation List'!AY3</f>
        <v>Question50</v>
      </c>
      <c r="B746" s="59"/>
      <c r="C746" s="59"/>
      <c r="D746" s="60"/>
    </row>
    <row r="747" spans="1:4">
      <c r="A747" s="5"/>
      <c r="B747" s="3" t="s">
        <v>37</v>
      </c>
      <c r="C747" s="3" t="s">
        <v>38</v>
      </c>
      <c r="D747" s="10" t="s">
        <v>40</v>
      </c>
    </row>
    <row r="748" spans="1:4">
      <c r="A748" s="5">
        <f>'Validation List'!AY6</f>
        <v>0</v>
      </c>
      <c r="B748" s="3">
        <f>COUNTIFS(Table2[How comfortable is your centre? ],Condition_1,Table2[Column50],A748)</f>
        <v>0</v>
      </c>
      <c r="C748" s="3" t="e">
        <f t="shared" ref="C748:C757" si="109">B748/No_who_answered_survey*100</f>
        <v>#DIV/0!</v>
      </c>
      <c r="D748" s="10" t="e">
        <f>B748/(No_who_answered_survey-COUNTIFS(Table2[How comfortable is your centre? ],Condition_1,Table2[Column50],"Not answered"))*100</f>
        <v>#DIV/0!</v>
      </c>
    </row>
    <row r="749" spans="1:4">
      <c r="A749" s="5">
        <f>'Validation List'!AY7</f>
        <v>0</v>
      </c>
      <c r="B749" s="3">
        <f>COUNTIFS(Table2[How comfortable is your centre? ],Condition_1,Table2[Column50],A749)</f>
        <v>0</v>
      </c>
      <c r="C749" s="3" t="e">
        <f t="shared" si="109"/>
        <v>#DIV/0!</v>
      </c>
      <c r="D749" s="10" t="e">
        <f>B749/(No_who_answered_survey-COUNTIFS(Table2[How comfortable is your centre? ],Condition_1,Table2[Column50],"Not answered"))*100</f>
        <v>#DIV/0!</v>
      </c>
    </row>
    <row r="750" spans="1:4">
      <c r="A750" s="5">
        <f>'Validation List'!AY8</f>
        <v>0</v>
      </c>
      <c r="B750" s="3">
        <f>COUNTIFS(Table2[How comfortable is your centre? ],Condition_1,Table2[Column50],A750)</f>
        <v>0</v>
      </c>
      <c r="C750" s="3" t="e">
        <f t="shared" si="109"/>
        <v>#DIV/0!</v>
      </c>
      <c r="D750" s="10" t="e">
        <f>B750/(No_who_answered_survey-COUNTIFS(Table2[How comfortable is your centre? ],Condition_1,Table2[Column50],"Not answered"))*100</f>
        <v>#DIV/0!</v>
      </c>
    </row>
    <row r="751" spans="1:4">
      <c r="A751" s="5">
        <f>'Validation List'!AY9</f>
        <v>0</v>
      </c>
      <c r="B751" s="3">
        <f>COUNTIFS(Table2[How comfortable is your centre? ],Condition_1,Table2[Column50],A751)</f>
        <v>0</v>
      </c>
      <c r="C751" s="3" t="e">
        <f t="shared" si="109"/>
        <v>#DIV/0!</v>
      </c>
      <c r="D751" s="10" t="e">
        <f>B751/(No_who_answered_survey-COUNTIFS(Table2[How comfortable is your centre? ],Condition_1,Table2[Column50],"Not answered"))*100</f>
        <v>#DIV/0!</v>
      </c>
    </row>
    <row r="752" spans="1:4">
      <c r="A752" s="5">
        <f>'Validation List'!AY10</f>
        <v>0</v>
      </c>
      <c r="B752" s="3">
        <f>COUNTIFS(Table2[How comfortable is your centre? ],Condition_1,Table2[Column50],A752)</f>
        <v>0</v>
      </c>
      <c r="C752" s="3" t="e">
        <f t="shared" si="109"/>
        <v>#DIV/0!</v>
      </c>
      <c r="D752" s="10" t="e">
        <f>B752/(No_who_answered_survey-COUNTIFS(Table2[How comfortable is your centre? ],Condition_1,Table2[Column50],"Not answered"))*100</f>
        <v>#DIV/0!</v>
      </c>
    </row>
    <row r="753" spans="1:4">
      <c r="A753" s="5">
        <f>'Validation List'!AY11</f>
        <v>0</v>
      </c>
      <c r="B753" s="3">
        <f>COUNTIFS(Table2[How comfortable is your centre? ],Condition_1,Table2[Column50],A753)</f>
        <v>0</v>
      </c>
      <c r="C753" s="3" t="e">
        <f t="shared" ref="C753:C756" si="110">B753/No_who_answered_survey*100</f>
        <v>#DIV/0!</v>
      </c>
      <c r="D753" s="10" t="e">
        <f>B753/(No_who_answered_survey-COUNTIFS(Table2[How comfortable is your centre? ],Condition_1,Table2[Column50],"Not answered"))*100</f>
        <v>#DIV/0!</v>
      </c>
    </row>
    <row r="754" spans="1:4">
      <c r="A754" s="5">
        <f>'Validation List'!AY12</f>
        <v>0</v>
      </c>
      <c r="B754" s="3">
        <f>COUNTIFS(Table2[How comfortable is your centre? ],Condition_1,Table2[Column50],A754)</f>
        <v>0</v>
      </c>
      <c r="C754" s="3" t="e">
        <f t="shared" si="110"/>
        <v>#DIV/0!</v>
      </c>
      <c r="D754" s="10" t="e">
        <f>B754/(No_who_answered_survey-COUNTIFS(Table2[How comfortable is your centre? ],Condition_1,Table2[Column50],"Not answered"))*100</f>
        <v>#DIV/0!</v>
      </c>
    </row>
    <row r="755" spans="1:4">
      <c r="A755" s="5">
        <f>'Validation List'!AY13</f>
        <v>0</v>
      </c>
      <c r="B755" s="3">
        <f>COUNTIFS(Table2[How comfortable is your centre? ],Condition_1,Table2[Column50],A755)</f>
        <v>0</v>
      </c>
      <c r="C755" s="3" t="e">
        <f t="shared" si="110"/>
        <v>#DIV/0!</v>
      </c>
      <c r="D755" s="10" t="e">
        <f>B755/(No_who_answered_survey-COUNTIFS(Table2[How comfortable is your centre? ],Condition_1,Table2[Column50],"Not answered"))*100</f>
        <v>#DIV/0!</v>
      </c>
    </row>
    <row r="756" spans="1:4">
      <c r="A756" s="5">
        <f>'Validation List'!AY14</f>
        <v>0</v>
      </c>
      <c r="B756" s="3">
        <f>COUNTIFS(Table2[How comfortable is your centre? ],Condition_1,Table2[Column50],A756)</f>
        <v>0</v>
      </c>
      <c r="C756" s="3" t="e">
        <f t="shared" si="110"/>
        <v>#DIV/0!</v>
      </c>
      <c r="D756" s="10" t="e">
        <f>B756/(No_who_answered_survey-COUNTIFS(Table2[How comfortable is your centre? ],Condition_1,Table2[Column50],"Not answered"))*100</f>
        <v>#DIV/0!</v>
      </c>
    </row>
    <row r="757" spans="1:4">
      <c r="A757" s="5">
        <f>'Validation List'!AY15</f>
        <v>0</v>
      </c>
      <c r="B757" s="3">
        <f>COUNTIFS(Table2[How comfortable is your centre? ],Condition_1,Table2[Column50],A757)</f>
        <v>0</v>
      </c>
      <c r="C757" s="3" t="e">
        <f t="shared" si="109"/>
        <v>#DIV/0!</v>
      </c>
      <c r="D757" s="10"/>
    </row>
    <row r="758" spans="1:4">
      <c r="A758" s="5" t="s">
        <v>39</v>
      </c>
      <c r="B758" s="3">
        <f>SUM(B748:B757)</f>
        <v>0</v>
      </c>
      <c r="C758" s="3" t="e">
        <f t="shared" ref="C758:D758" si="111">SUM(C748:C757)</f>
        <v>#DIV/0!</v>
      </c>
      <c r="D758" s="3" t="e">
        <f t="shared" si="111"/>
        <v>#DIV/0!</v>
      </c>
    </row>
    <row r="759" spans="1:4">
      <c r="A759" s="2"/>
      <c r="B759" s="8"/>
      <c r="C759" s="8"/>
      <c r="D759" s="11"/>
    </row>
    <row r="760" spans="1:4">
      <c r="A760" s="2"/>
      <c r="B760" s="8"/>
      <c r="C760" s="8"/>
      <c r="D760" s="11"/>
    </row>
    <row r="761" spans="1:4">
      <c r="A761" s="58" t="str">
        <f>'Validation List'!AZ3</f>
        <v>Question51</v>
      </c>
      <c r="B761" s="59"/>
      <c r="C761" s="59"/>
      <c r="D761" s="60"/>
    </row>
    <row r="762" spans="1:4">
      <c r="A762" s="5"/>
      <c r="B762" s="3" t="s">
        <v>37</v>
      </c>
      <c r="C762" s="3" t="s">
        <v>38</v>
      </c>
      <c r="D762" s="10" t="s">
        <v>40</v>
      </c>
    </row>
    <row r="763" spans="1:4">
      <c r="A763" s="5">
        <f>'Validation List'!AZ6</f>
        <v>0</v>
      </c>
      <c r="B763" s="3" t="e">
        <f>COUNTIFS(Table2[How comfortable is your centre? ],Condition_1,#REF!,A763)</f>
        <v>#REF!</v>
      </c>
      <c r="C763" s="3" t="e">
        <f t="shared" ref="C763:C772" si="112">B763/No_who_answered_survey*100</f>
        <v>#REF!</v>
      </c>
      <c r="D763" s="10" t="e">
        <f>B763/(No_who_answered_survey-COUNTIFS(Table2[How comfortable is your centre? ],Condition_1,#REF!,"Not answered"))*100</f>
        <v>#REF!</v>
      </c>
    </row>
    <row r="764" spans="1:4">
      <c r="A764" s="5">
        <f>'Validation List'!AZ7</f>
        <v>0</v>
      </c>
      <c r="B764" s="3" t="e">
        <f>COUNTIFS(Table2[How comfortable is your centre? ],Condition_1,#REF!,A764)</f>
        <v>#REF!</v>
      </c>
      <c r="C764" s="3" t="e">
        <f t="shared" si="112"/>
        <v>#REF!</v>
      </c>
      <c r="D764" s="10" t="e">
        <f>B764/(No_who_answered_survey-COUNTIFS(Table2[How comfortable is your centre? ],Condition_1,#REF!,"Not answered"))*100</f>
        <v>#REF!</v>
      </c>
    </row>
    <row r="765" spans="1:4">
      <c r="A765" s="5">
        <f>'Validation List'!AZ8</f>
        <v>0</v>
      </c>
      <c r="B765" s="3" t="e">
        <f>COUNTIFS(Table2[How comfortable is your centre? ],Condition_1,#REF!,A765)</f>
        <v>#REF!</v>
      </c>
      <c r="C765" s="3" t="e">
        <f t="shared" si="112"/>
        <v>#REF!</v>
      </c>
      <c r="D765" s="10" t="e">
        <f>B765/(No_who_answered_survey-COUNTIFS(Table2[How comfortable is your centre? ],Condition_1,#REF!,"Not answered"))*100</f>
        <v>#REF!</v>
      </c>
    </row>
    <row r="766" spans="1:4">
      <c r="A766" s="5">
        <f>'Validation List'!AZ9</f>
        <v>0</v>
      </c>
      <c r="B766" s="3" t="e">
        <f>COUNTIFS(Table2[How comfortable is your centre? ],Condition_1,#REF!,A766)</f>
        <v>#REF!</v>
      </c>
      <c r="C766" s="3" t="e">
        <f t="shared" si="112"/>
        <v>#REF!</v>
      </c>
      <c r="D766" s="10" t="e">
        <f>B766/(No_who_answered_survey-COUNTIFS(Table2[How comfortable is your centre? ],Condition_1,#REF!,"Not answered"))*100</f>
        <v>#REF!</v>
      </c>
    </row>
    <row r="767" spans="1:4">
      <c r="A767" s="5">
        <f>'Validation List'!AZ10</f>
        <v>0</v>
      </c>
      <c r="B767" s="3" t="e">
        <f>COUNTIFS(Table2[How comfortable is your centre? ],Condition_1,#REF!,A767)</f>
        <v>#REF!</v>
      </c>
      <c r="C767" s="3" t="e">
        <f t="shared" si="112"/>
        <v>#REF!</v>
      </c>
      <c r="D767" s="10" t="e">
        <f>B767/(No_who_answered_survey-COUNTIFS(Table2[How comfortable is your centre? ],Condition_1,#REF!,"Not answered"))*100</f>
        <v>#REF!</v>
      </c>
    </row>
    <row r="768" spans="1:4">
      <c r="A768" s="5">
        <f>'Validation List'!AZ11</f>
        <v>0</v>
      </c>
      <c r="B768" s="3" t="e">
        <f>COUNTIFS(Table2[How comfortable is your centre? ],Condition_1,#REF!,A768)</f>
        <v>#REF!</v>
      </c>
      <c r="C768" s="3" t="e">
        <f t="shared" ref="C768:C771" si="113">B768/No_who_answered_survey*100</f>
        <v>#REF!</v>
      </c>
      <c r="D768" s="10" t="e">
        <f>B768/(No_who_answered_survey-COUNTIFS(Table2[How comfortable is your centre? ],Condition_1,#REF!,"Not answered"))*100</f>
        <v>#REF!</v>
      </c>
    </row>
    <row r="769" spans="1:4">
      <c r="A769" s="5">
        <f>'Validation List'!AZ12</f>
        <v>0</v>
      </c>
      <c r="B769" s="3" t="e">
        <f>COUNTIFS(Table2[How comfortable is your centre? ],Condition_1,#REF!,A769)</f>
        <v>#REF!</v>
      </c>
      <c r="C769" s="3" t="e">
        <f t="shared" si="113"/>
        <v>#REF!</v>
      </c>
      <c r="D769" s="10" t="e">
        <f>B769/(No_who_answered_survey-COUNTIFS(Table2[How comfortable is your centre? ],Condition_1,#REF!,"Not answered"))*100</f>
        <v>#REF!</v>
      </c>
    </row>
    <row r="770" spans="1:4">
      <c r="A770" s="5">
        <f>'Validation List'!AZ13</f>
        <v>0</v>
      </c>
      <c r="B770" s="3" t="e">
        <f>COUNTIFS(Table2[How comfortable is your centre? ],Condition_1,#REF!,A770)</f>
        <v>#REF!</v>
      </c>
      <c r="C770" s="3" t="e">
        <f t="shared" si="113"/>
        <v>#REF!</v>
      </c>
      <c r="D770" s="10" t="e">
        <f>B770/(No_who_answered_survey-COUNTIFS(Table2[How comfortable is your centre? ],Condition_1,#REF!,"Not answered"))*100</f>
        <v>#REF!</v>
      </c>
    </row>
    <row r="771" spans="1:4">
      <c r="A771" s="5">
        <f>'Validation List'!AZ14</f>
        <v>0</v>
      </c>
      <c r="B771" s="3" t="e">
        <f>COUNTIFS(Table2[How comfortable is your centre? ],Condition_1,#REF!,A771)</f>
        <v>#REF!</v>
      </c>
      <c r="C771" s="3" t="e">
        <f t="shared" si="113"/>
        <v>#REF!</v>
      </c>
      <c r="D771" s="10" t="e">
        <f>B771/(No_who_answered_survey-COUNTIFS(Table2[How comfortable is your centre? ],Condition_1,#REF!,"Not answered"))*100</f>
        <v>#REF!</v>
      </c>
    </row>
    <row r="772" spans="1:4">
      <c r="A772" s="5">
        <f>'Validation List'!AZ15</f>
        <v>0</v>
      </c>
      <c r="B772" s="3" t="e">
        <f>COUNTIFS(Table2[How comfortable is your centre? ],Condition_1,#REF!,A772)</f>
        <v>#REF!</v>
      </c>
      <c r="C772" s="3" t="e">
        <f t="shared" si="112"/>
        <v>#REF!</v>
      </c>
      <c r="D772" s="10"/>
    </row>
    <row r="773" spans="1:4">
      <c r="A773" s="5" t="s">
        <v>39</v>
      </c>
      <c r="B773" s="3" t="e">
        <f>SUM(B763:B772)</f>
        <v>#REF!</v>
      </c>
      <c r="C773" s="3" t="e">
        <f t="shared" ref="C773:D773" si="114">SUM(C763:C772)</f>
        <v>#REF!</v>
      </c>
      <c r="D773" s="3" t="e">
        <f t="shared" si="114"/>
        <v>#REF!</v>
      </c>
    </row>
    <row r="774" spans="1:4">
      <c r="A774" s="2"/>
      <c r="B774" s="8"/>
      <c r="C774" s="8"/>
      <c r="D774" s="11"/>
    </row>
    <row r="775" spans="1:4">
      <c r="A775" s="2"/>
      <c r="B775" s="8"/>
      <c r="C775" s="8"/>
      <c r="D775" s="11"/>
    </row>
    <row r="776" spans="1:4">
      <c r="A776" s="58" t="str">
        <f>'Validation List'!BA3</f>
        <v>Question52</v>
      </c>
      <c r="B776" s="59"/>
      <c r="C776" s="59"/>
      <c r="D776" s="60"/>
    </row>
    <row r="777" spans="1:4">
      <c r="A777" s="5"/>
      <c r="B777" s="3" t="s">
        <v>37</v>
      </c>
      <c r="C777" s="3" t="s">
        <v>38</v>
      </c>
      <c r="D777" s="10" t="s">
        <v>40</v>
      </c>
    </row>
    <row r="778" spans="1:4">
      <c r="A778" s="5">
        <f>'Validation List'!BA6</f>
        <v>0</v>
      </c>
      <c r="B778" s="3" t="e">
        <f>COUNTIFS(Table2[How comfortable is your centre? ],Condition_1,#REF!,A778)</f>
        <v>#REF!</v>
      </c>
      <c r="C778" s="3" t="e">
        <f t="shared" ref="C778:C787" si="115">B778/No_who_answered_survey*100</f>
        <v>#REF!</v>
      </c>
      <c r="D778" s="10" t="e">
        <f>B778/(No_who_answered_survey-COUNTIFS(Table2[How comfortable is your centre? ],Condition_1,#REF!,"Not answered"))*100</f>
        <v>#REF!</v>
      </c>
    </row>
    <row r="779" spans="1:4">
      <c r="A779" s="5">
        <f>'Validation List'!BA7</f>
        <v>0</v>
      </c>
      <c r="B779" s="3" t="e">
        <f>COUNTIFS(Table2[How comfortable is your centre? ],Condition_1,#REF!,A779)</f>
        <v>#REF!</v>
      </c>
      <c r="C779" s="3" t="e">
        <f t="shared" si="115"/>
        <v>#REF!</v>
      </c>
      <c r="D779" s="10" t="e">
        <f>B779/(No_who_answered_survey-COUNTIFS(Table2[How comfortable is your centre? ],Condition_1,#REF!,"Not answered"))*100</f>
        <v>#REF!</v>
      </c>
    </row>
    <row r="780" spans="1:4">
      <c r="A780" s="5">
        <f>'Validation List'!BA8</f>
        <v>0</v>
      </c>
      <c r="B780" s="3" t="e">
        <f>COUNTIFS(Table2[How comfortable is your centre? ],Condition_1,#REF!,A780)</f>
        <v>#REF!</v>
      </c>
      <c r="C780" s="3" t="e">
        <f t="shared" si="115"/>
        <v>#REF!</v>
      </c>
      <c r="D780" s="10" t="e">
        <f>B780/(No_who_answered_survey-COUNTIFS(Table2[How comfortable is your centre? ],Condition_1,#REF!,"Not answered"))*100</f>
        <v>#REF!</v>
      </c>
    </row>
    <row r="781" spans="1:4">
      <c r="A781" s="5">
        <f>'Validation List'!BA9</f>
        <v>0</v>
      </c>
      <c r="B781" s="3" t="e">
        <f>COUNTIFS(Table2[How comfortable is your centre? ],Condition_1,#REF!,A781)</f>
        <v>#REF!</v>
      </c>
      <c r="C781" s="3" t="e">
        <f t="shared" si="115"/>
        <v>#REF!</v>
      </c>
      <c r="D781" s="10" t="e">
        <f>B781/(No_who_answered_survey-COUNTIFS(Table2[How comfortable is your centre? ],Condition_1,#REF!,"Not answered"))*100</f>
        <v>#REF!</v>
      </c>
    </row>
    <row r="782" spans="1:4">
      <c r="A782" s="5">
        <f>'Validation List'!BA10</f>
        <v>0</v>
      </c>
      <c r="B782" s="3" t="e">
        <f>COUNTIFS(Table2[How comfortable is your centre? ],Condition_1,#REF!,A782)</f>
        <v>#REF!</v>
      </c>
      <c r="C782" s="3" t="e">
        <f t="shared" si="115"/>
        <v>#REF!</v>
      </c>
      <c r="D782" s="10" t="e">
        <f>B782/(No_who_answered_survey-COUNTIFS(Table2[How comfortable is your centre? ],Condition_1,#REF!,"Not answered"))*100</f>
        <v>#REF!</v>
      </c>
    </row>
    <row r="783" spans="1:4">
      <c r="A783" s="5">
        <f>'Validation List'!BA11</f>
        <v>0</v>
      </c>
      <c r="B783" s="3" t="e">
        <f>COUNTIFS(Table2[How comfortable is your centre? ],Condition_1,#REF!,A783)</f>
        <v>#REF!</v>
      </c>
      <c r="C783" s="3" t="e">
        <f t="shared" ref="C783:C786" si="116">B783/No_who_answered_survey*100</f>
        <v>#REF!</v>
      </c>
      <c r="D783" s="10" t="e">
        <f>B783/(No_who_answered_survey-COUNTIFS(Table2[How comfortable is your centre? ],Condition_1,#REF!,"Not answered"))*100</f>
        <v>#REF!</v>
      </c>
    </row>
    <row r="784" spans="1:4">
      <c r="A784" s="5">
        <f>'Validation List'!BA12</f>
        <v>0</v>
      </c>
      <c r="B784" s="3" t="e">
        <f>COUNTIFS(Table2[How comfortable is your centre? ],Condition_1,#REF!,A784)</f>
        <v>#REF!</v>
      </c>
      <c r="C784" s="3" t="e">
        <f t="shared" si="116"/>
        <v>#REF!</v>
      </c>
      <c r="D784" s="10" t="e">
        <f>B784/(No_who_answered_survey-COUNTIFS(Table2[How comfortable is your centre? ],Condition_1,#REF!,"Not answered"))*100</f>
        <v>#REF!</v>
      </c>
    </row>
    <row r="785" spans="1:4">
      <c r="A785" s="5">
        <f>'Validation List'!BA13</f>
        <v>0</v>
      </c>
      <c r="B785" s="3" t="e">
        <f>COUNTIFS(Table2[How comfortable is your centre? ],Condition_1,#REF!,A785)</f>
        <v>#REF!</v>
      </c>
      <c r="C785" s="3" t="e">
        <f t="shared" si="116"/>
        <v>#REF!</v>
      </c>
      <c r="D785" s="10" t="e">
        <f>B785/(No_who_answered_survey-COUNTIFS(Table2[How comfortable is your centre? ],Condition_1,#REF!,"Not answered"))*100</f>
        <v>#REF!</v>
      </c>
    </row>
    <row r="786" spans="1:4">
      <c r="A786" s="5">
        <f>'Validation List'!BA14</f>
        <v>0</v>
      </c>
      <c r="B786" s="3" t="e">
        <f>COUNTIFS(Table2[How comfortable is your centre? ],Condition_1,#REF!,A786)</f>
        <v>#REF!</v>
      </c>
      <c r="C786" s="3" t="e">
        <f t="shared" si="116"/>
        <v>#REF!</v>
      </c>
      <c r="D786" s="10" t="e">
        <f>B786/(No_who_answered_survey-COUNTIFS(Table2[How comfortable is your centre? ],Condition_1,#REF!,"Not answered"))*100</f>
        <v>#REF!</v>
      </c>
    </row>
    <row r="787" spans="1:4">
      <c r="A787" s="5">
        <f>'Validation List'!BA15</f>
        <v>0</v>
      </c>
      <c r="B787" s="3" t="e">
        <f>COUNTIFS(Table2[How comfortable is your centre? ],Condition_1,#REF!,A787)</f>
        <v>#REF!</v>
      </c>
      <c r="C787" s="3" t="e">
        <f t="shared" si="115"/>
        <v>#REF!</v>
      </c>
      <c r="D787" s="10"/>
    </row>
    <row r="788" spans="1:4">
      <c r="A788" s="5" t="s">
        <v>39</v>
      </c>
      <c r="B788" s="3" t="e">
        <f>SUM(B778:B787)</f>
        <v>#REF!</v>
      </c>
      <c r="C788" s="3" t="e">
        <f t="shared" ref="C788:D788" si="117">SUM(C778:C787)</f>
        <v>#REF!</v>
      </c>
      <c r="D788" s="3" t="e">
        <f t="shared" si="117"/>
        <v>#REF!</v>
      </c>
    </row>
    <row r="789" spans="1:4">
      <c r="A789" s="2"/>
      <c r="B789" s="8"/>
      <c r="C789" s="8"/>
      <c r="D789" s="11"/>
    </row>
    <row r="790" spans="1:4">
      <c r="A790" s="2"/>
      <c r="B790" s="8"/>
      <c r="C790" s="8"/>
      <c r="D790" s="11"/>
    </row>
    <row r="791" spans="1:4">
      <c r="A791" s="58" t="str">
        <f>'Validation List'!BB3</f>
        <v>Question53</v>
      </c>
      <c r="B791" s="59"/>
      <c r="C791" s="59"/>
      <c r="D791" s="60"/>
    </row>
    <row r="792" spans="1:4">
      <c r="A792" s="5"/>
      <c r="B792" s="3" t="s">
        <v>37</v>
      </c>
      <c r="C792" s="3" t="s">
        <v>38</v>
      </c>
      <c r="D792" s="10" t="s">
        <v>40</v>
      </c>
    </row>
    <row r="793" spans="1:4">
      <c r="A793" s="5">
        <f>'Validation List'!BB6</f>
        <v>0</v>
      </c>
      <c r="B793" s="3" t="e">
        <f>COUNTIFS(Table2[How comfortable is your centre? ],Condition_1,#REF!,A793)</f>
        <v>#REF!</v>
      </c>
      <c r="C793" s="3" t="e">
        <f t="shared" ref="C793:C802" si="118">B793/No_who_answered_survey*100</f>
        <v>#REF!</v>
      </c>
      <c r="D793" s="10" t="e">
        <f>B793/(No_who_answered_survey-COUNTIFS(Table2[How comfortable is your centre? ],Condition_1,#REF!,"Not answered"))*100</f>
        <v>#REF!</v>
      </c>
    </row>
    <row r="794" spans="1:4">
      <c r="A794" s="5">
        <f>'Validation List'!BB7</f>
        <v>0</v>
      </c>
      <c r="B794" s="3" t="e">
        <f>COUNTIFS(Table2[How comfortable is your centre? ],Condition_1,#REF!,A794)</f>
        <v>#REF!</v>
      </c>
      <c r="C794" s="3" t="e">
        <f t="shared" si="118"/>
        <v>#REF!</v>
      </c>
      <c r="D794" s="10" t="e">
        <f>B794/(No_who_answered_survey-COUNTIFS(Table2[How comfortable is your centre? ],Condition_1,#REF!,"Not answered"))*100</f>
        <v>#REF!</v>
      </c>
    </row>
    <row r="795" spans="1:4">
      <c r="A795" s="5">
        <f>'Validation List'!BB8</f>
        <v>0</v>
      </c>
      <c r="B795" s="3" t="e">
        <f>COUNTIFS(Table2[How comfortable is your centre? ],Condition_1,#REF!,A795)</f>
        <v>#REF!</v>
      </c>
      <c r="C795" s="3" t="e">
        <f t="shared" si="118"/>
        <v>#REF!</v>
      </c>
      <c r="D795" s="10" t="e">
        <f>B795/(No_who_answered_survey-COUNTIFS(Table2[How comfortable is your centre? ],Condition_1,#REF!,"Not answered"))*100</f>
        <v>#REF!</v>
      </c>
    </row>
    <row r="796" spans="1:4">
      <c r="A796" s="5">
        <f>'Validation List'!BB9</f>
        <v>0</v>
      </c>
      <c r="B796" s="3" t="e">
        <f>COUNTIFS(Table2[How comfortable is your centre? ],Condition_1,#REF!,A796)</f>
        <v>#REF!</v>
      </c>
      <c r="C796" s="3" t="e">
        <f t="shared" si="118"/>
        <v>#REF!</v>
      </c>
      <c r="D796" s="10" t="e">
        <f>B796/(No_who_answered_survey-COUNTIFS(Table2[How comfortable is your centre? ],Condition_1,#REF!,"Not answered"))*100</f>
        <v>#REF!</v>
      </c>
    </row>
    <row r="797" spans="1:4">
      <c r="A797" s="5">
        <f>'Validation List'!BB10</f>
        <v>0</v>
      </c>
      <c r="B797" s="3" t="e">
        <f>COUNTIFS(Table2[How comfortable is your centre? ],Condition_1,#REF!,A797)</f>
        <v>#REF!</v>
      </c>
      <c r="C797" s="3" t="e">
        <f t="shared" si="118"/>
        <v>#REF!</v>
      </c>
      <c r="D797" s="10" t="e">
        <f>B797/(No_who_answered_survey-COUNTIFS(Table2[How comfortable is your centre? ],Condition_1,#REF!,"Not answered"))*100</f>
        <v>#REF!</v>
      </c>
    </row>
    <row r="798" spans="1:4">
      <c r="A798" s="5">
        <f>'Validation List'!BB11</f>
        <v>0</v>
      </c>
      <c r="B798" s="3" t="e">
        <f>COUNTIFS(Table2[How comfortable is your centre? ],Condition_1,#REF!,A798)</f>
        <v>#REF!</v>
      </c>
      <c r="C798" s="3" t="e">
        <f t="shared" ref="C798:C801" si="119">B798/No_who_answered_survey*100</f>
        <v>#REF!</v>
      </c>
      <c r="D798" s="10" t="e">
        <f>B798/(No_who_answered_survey-COUNTIFS(Table2[How comfortable is your centre? ],Condition_1,#REF!,"Not answered"))*100</f>
        <v>#REF!</v>
      </c>
    </row>
    <row r="799" spans="1:4">
      <c r="A799" s="5">
        <f>'Validation List'!BB12</f>
        <v>0</v>
      </c>
      <c r="B799" s="3" t="e">
        <f>COUNTIFS(Table2[How comfortable is your centre? ],Condition_1,#REF!,A799)</f>
        <v>#REF!</v>
      </c>
      <c r="C799" s="3" t="e">
        <f t="shared" si="119"/>
        <v>#REF!</v>
      </c>
      <c r="D799" s="10" t="e">
        <f>B799/(No_who_answered_survey-COUNTIFS(Table2[How comfortable is your centre? ],Condition_1,#REF!,"Not answered"))*100</f>
        <v>#REF!</v>
      </c>
    </row>
    <row r="800" spans="1:4">
      <c r="A800" s="5">
        <f>'Validation List'!BB13</f>
        <v>0</v>
      </c>
      <c r="B800" s="3" t="e">
        <f>COUNTIFS(Table2[How comfortable is your centre? ],Condition_1,#REF!,A800)</f>
        <v>#REF!</v>
      </c>
      <c r="C800" s="3" t="e">
        <f t="shared" si="119"/>
        <v>#REF!</v>
      </c>
      <c r="D800" s="10" t="e">
        <f>B800/(No_who_answered_survey-COUNTIFS(Table2[How comfortable is your centre? ],Condition_1,#REF!,"Not answered"))*100</f>
        <v>#REF!</v>
      </c>
    </row>
    <row r="801" spans="1:4">
      <c r="A801" s="5">
        <f>'Validation List'!BB14</f>
        <v>0</v>
      </c>
      <c r="B801" s="3" t="e">
        <f>COUNTIFS(Table2[How comfortable is your centre? ],Condition_1,#REF!,A801)</f>
        <v>#REF!</v>
      </c>
      <c r="C801" s="3" t="e">
        <f t="shared" si="119"/>
        <v>#REF!</v>
      </c>
      <c r="D801" s="10" t="e">
        <f>B801/(No_who_answered_survey-COUNTIFS(Table2[How comfortable is your centre? ],Condition_1,#REF!,"Not answered"))*100</f>
        <v>#REF!</v>
      </c>
    </row>
    <row r="802" spans="1:4">
      <c r="A802" s="5">
        <f>'Validation List'!BB15</f>
        <v>0</v>
      </c>
      <c r="B802" s="3" t="e">
        <f>COUNTIFS(Table2[How comfortable is your centre? ],Condition_1,#REF!,A802)</f>
        <v>#REF!</v>
      </c>
      <c r="C802" s="3" t="e">
        <f t="shared" si="118"/>
        <v>#REF!</v>
      </c>
      <c r="D802" s="10"/>
    </row>
    <row r="803" spans="1:4">
      <c r="A803" s="5" t="s">
        <v>39</v>
      </c>
      <c r="B803" s="3" t="e">
        <f>SUM(B793:B802)</f>
        <v>#REF!</v>
      </c>
      <c r="C803" s="3" t="e">
        <f t="shared" ref="C803:D803" si="120">SUM(C793:C802)</f>
        <v>#REF!</v>
      </c>
      <c r="D803" s="3" t="e">
        <f t="shared" si="120"/>
        <v>#REF!</v>
      </c>
    </row>
    <row r="804" spans="1:4">
      <c r="A804" s="2"/>
      <c r="B804" s="8"/>
      <c r="C804" s="8"/>
      <c r="D804" s="11"/>
    </row>
    <row r="805" spans="1:4">
      <c r="A805" s="2"/>
      <c r="B805" s="8"/>
      <c r="C805" s="8"/>
      <c r="D805" s="11"/>
    </row>
    <row r="806" spans="1:4">
      <c r="A806" s="58" t="str">
        <f>'Validation List'!BC3</f>
        <v>Question54</v>
      </c>
      <c r="B806" s="59"/>
      <c r="C806" s="59"/>
      <c r="D806" s="60"/>
    </row>
    <row r="807" spans="1:4">
      <c r="A807" s="5"/>
      <c r="B807" s="3" t="s">
        <v>37</v>
      </c>
      <c r="C807" s="3" t="s">
        <v>38</v>
      </c>
      <c r="D807" s="10" t="s">
        <v>40</v>
      </c>
    </row>
    <row r="808" spans="1:4">
      <c r="A808" s="5">
        <f>'Validation List'!BC6</f>
        <v>0</v>
      </c>
      <c r="B808" s="3" t="e">
        <f>COUNTIFS(Table2[How comfortable is your centre? ],Condition_1,#REF!,A808)</f>
        <v>#REF!</v>
      </c>
      <c r="C808" s="3" t="e">
        <f t="shared" ref="C808:C817" si="121">B808/No_who_answered_survey*100</f>
        <v>#REF!</v>
      </c>
      <c r="D808" s="10" t="e">
        <f>B808/(No_who_answered_survey-COUNTIFS(Table2[How comfortable is your centre? ],Condition_1,#REF!,"Not answered"))*100</f>
        <v>#REF!</v>
      </c>
    </row>
    <row r="809" spans="1:4">
      <c r="A809" s="5">
        <f>'Validation List'!BC7</f>
        <v>0</v>
      </c>
      <c r="B809" s="3" t="e">
        <f>COUNTIFS(Table2[How comfortable is your centre? ],Condition_1,#REF!,A809)</f>
        <v>#REF!</v>
      </c>
      <c r="C809" s="3" t="e">
        <f t="shared" si="121"/>
        <v>#REF!</v>
      </c>
      <c r="D809" s="10" t="e">
        <f>B809/(No_who_answered_survey-COUNTIFS(Table2[How comfortable is your centre? ],Condition_1,#REF!,"Not answered"))*100</f>
        <v>#REF!</v>
      </c>
    </row>
    <row r="810" spans="1:4">
      <c r="A810" s="5">
        <f>'Validation List'!BC8</f>
        <v>0</v>
      </c>
      <c r="B810" s="3" t="e">
        <f>COUNTIFS(Table2[How comfortable is your centre? ],Condition_1,#REF!,A810)</f>
        <v>#REF!</v>
      </c>
      <c r="C810" s="3" t="e">
        <f t="shared" si="121"/>
        <v>#REF!</v>
      </c>
      <c r="D810" s="10" t="e">
        <f>B810/(No_who_answered_survey-COUNTIFS(Table2[How comfortable is your centre? ],Condition_1,#REF!,"Not answered"))*100</f>
        <v>#REF!</v>
      </c>
    </row>
    <row r="811" spans="1:4">
      <c r="A811" s="5">
        <f>'Validation List'!BC9</f>
        <v>0</v>
      </c>
      <c r="B811" s="3" t="e">
        <f>COUNTIFS(Table2[How comfortable is your centre? ],Condition_1,#REF!,A811)</f>
        <v>#REF!</v>
      </c>
      <c r="C811" s="3" t="e">
        <f t="shared" si="121"/>
        <v>#REF!</v>
      </c>
      <c r="D811" s="10" t="e">
        <f>B811/(No_who_answered_survey-COUNTIFS(Table2[How comfortable is your centre? ],Condition_1,#REF!,"Not answered"))*100</f>
        <v>#REF!</v>
      </c>
    </row>
    <row r="812" spans="1:4">
      <c r="A812" s="5">
        <f>'Validation List'!BC10</f>
        <v>0</v>
      </c>
      <c r="B812" s="3" t="e">
        <f>COUNTIFS(Table2[How comfortable is your centre? ],Condition_1,#REF!,A812)</f>
        <v>#REF!</v>
      </c>
      <c r="C812" s="3" t="e">
        <f t="shared" si="121"/>
        <v>#REF!</v>
      </c>
      <c r="D812" s="10" t="e">
        <f>B812/(No_who_answered_survey-COUNTIFS(Table2[How comfortable is your centre? ],Condition_1,#REF!,"Not answered"))*100</f>
        <v>#REF!</v>
      </c>
    </row>
    <row r="813" spans="1:4">
      <c r="A813" s="5">
        <f>'Validation List'!BC11</f>
        <v>0</v>
      </c>
      <c r="B813" s="3" t="e">
        <f>COUNTIFS(Table2[How comfortable is your centre? ],Condition_1,#REF!,A813)</f>
        <v>#REF!</v>
      </c>
      <c r="C813" s="3" t="e">
        <f t="shared" ref="C813:C816" si="122">B813/No_who_answered_survey*100</f>
        <v>#REF!</v>
      </c>
      <c r="D813" s="10" t="e">
        <f>B813/(No_who_answered_survey-COUNTIFS(Table2[How comfortable is your centre? ],Condition_1,#REF!,"Not answered"))*100</f>
        <v>#REF!</v>
      </c>
    </row>
    <row r="814" spans="1:4">
      <c r="A814" s="5">
        <f>'Validation List'!BC12</f>
        <v>0</v>
      </c>
      <c r="B814" s="3" t="e">
        <f>COUNTIFS(Table2[How comfortable is your centre? ],Condition_1,#REF!,A814)</f>
        <v>#REF!</v>
      </c>
      <c r="C814" s="3" t="e">
        <f t="shared" si="122"/>
        <v>#REF!</v>
      </c>
      <c r="D814" s="10" t="e">
        <f>B814/(No_who_answered_survey-COUNTIFS(Table2[How comfortable is your centre? ],Condition_1,#REF!,"Not answered"))*100</f>
        <v>#REF!</v>
      </c>
    </row>
    <row r="815" spans="1:4">
      <c r="A815" s="5">
        <f>'Validation List'!BC13</f>
        <v>0</v>
      </c>
      <c r="B815" s="3" t="e">
        <f>COUNTIFS(Table2[How comfortable is your centre? ],Condition_1,#REF!,A815)</f>
        <v>#REF!</v>
      </c>
      <c r="C815" s="3" t="e">
        <f t="shared" si="122"/>
        <v>#REF!</v>
      </c>
      <c r="D815" s="10" t="e">
        <f>B815/(No_who_answered_survey-COUNTIFS(Table2[How comfortable is your centre? ],Condition_1,#REF!,"Not answered"))*100</f>
        <v>#REF!</v>
      </c>
    </row>
    <row r="816" spans="1:4">
      <c r="A816" s="5">
        <f>'Validation List'!BC14</f>
        <v>0</v>
      </c>
      <c r="B816" s="3" t="e">
        <f>COUNTIFS(Table2[How comfortable is your centre? ],Condition_1,#REF!,A816)</f>
        <v>#REF!</v>
      </c>
      <c r="C816" s="3" t="e">
        <f t="shared" si="122"/>
        <v>#REF!</v>
      </c>
      <c r="D816" s="10" t="e">
        <f>B816/(No_who_answered_survey-COUNTIFS(Table2[How comfortable is your centre? ],Condition_1,#REF!,"Not answered"))*100</f>
        <v>#REF!</v>
      </c>
    </row>
    <row r="817" spans="1:4">
      <c r="A817" s="5">
        <f>'Validation List'!BC15</f>
        <v>0</v>
      </c>
      <c r="B817" s="3" t="e">
        <f>COUNTIFS(Table2[How comfortable is your centre? ],Condition_1,#REF!,A817)</f>
        <v>#REF!</v>
      </c>
      <c r="C817" s="3" t="e">
        <f t="shared" si="121"/>
        <v>#REF!</v>
      </c>
      <c r="D817" s="10"/>
    </row>
    <row r="818" spans="1:4">
      <c r="A818" s="5" t="s">
        <v>39</v>
      </c>
      <c r="B818" s="3" t="e">
        <f>SUM(B808:B817)</f>
        <v>#REF!</v>
      </c>
      <c r="C818" s="3" t="e">
        <f t="shared" ref="C818:D818" si="123">SUM(C808:C817)</f>
        <v>#REF!</v>
      </c>
      <c r="D818" s="3" t="e">
        <f t="shared" si="123"/>
        <v>#REF!</v>
      </c>
    </row>
    <row r="819" spans="1:4">
      <c r="A819" s="2"/>
      <c r="B819" s="8"/>
      <c r="C819" s="8"/>
      <c r="D819" s="11"/>
    </row>
    <row r="820" spans="1:4">
      <c r="A820" s="2"/>
      <c r="B820" s="8"/>
      <c r="C820" s="8"/>
      <c r="D820" s="11"/>
    </row>
    <row r="821" spans="1:4">
      <c r="A821" s="58" t="str">
        <f>'Validation List'!BD3</f>
        <v>Question55</v>
      </c>
      <c r="B821" s="59"/>
      <c r="C821" s="59"/>
      <c r="D821" s="60"/>
    </row>
    <row r="822" spans="1:4">
      <c r="A822" s="5"/>
      <c r="B822" s="3" t="s">
        <v>37</v>
      </c>
      <c r="C822" s="3" t="s">
        <v>38</v>
      </c>
      <c r="D822" s="10" t="s">
        <v>40</v>
      </c>
    </row>
    <row r="823" spans="1:4">
      <c r="A823" s="5">
        <f>'Validation List'!BD6</f>
        <v>0</v>
      </c>
      <c r="B823" s="3" t="e">
        <f>COUNTIFS(Table2[How comfortable is your centre? ],Condition_1,#REF!,A823)</f>
        <v>#REF!</v>
      </c>
      <c r="C823" s="3" t="e">
        <f t="shared" ref="C823:C832" si="124">B823/No_who_answered_survey*100</f>
        <v>#REF!</v>
      </c>
      <c r="D823" s="10" t="e">
        <f>B823/(No_who_answered_survey-COUNTIFS(Table2[How comfortable is your centre? ],Condition_1,#REF!,"Not answered"))*100</f>
        <v>#REF!</v>
      </c>
    </row>
    <row r="824" spans="1:4">
      <c r="A824" s="5">
        <f>'Validation List'!BD7</f>
        <v>0</v>
      </c>
      <c r="B824" s="3" t="e">
        <f>COUNTIFS(Table2[How comfortable is your centre? ],Condition_1,#REF!,A824)</f>
        <v>#REF!</v>
      </c>
      <c r="C824" s="3" t="e">
        <f t="shared" si="124"/>
        <v>#REF!</v>
      </c>
      <c r="D824" s="10" t="e">
        <f>B824/(No_who_answered_survey-COUNTIFS(Table2[How comfortable is your centre? ],Condition_1,#REF!,"Not answered"))*100</f>
        <v>#REF!</v>
      </c>
    </row>
    <row r="825" spans="1:4">
      <c r="A825" s="5">
        <f>'Validation List'!BD8</f>
        <v>0</v>
      </c>
      <c r="B825" s="3" t="e">
        <f>COUNTIFS(Table2[How comfortable is your centre? ],Condition_1,#REF!,A825)</f>
        <v>#REF!</v>
      </c>
      <c r="C825" s="3" t="e">
        <f t="shared" si="124"/>
        <v>#REF!</v>
      </c>
      <c r="D825" s="10" t="e">
        <f>B825/(No_who_answered_survey-COUNTIFS(Table2[How comfortable is your centre? ],Condition_1,#REF!,"Not answered"))*100</f>
        <v>#REF!</v>
      </c>
    </row>
    <row r="826" spans="1:4">
      <c r="A826" s="5">
        <f>'Validation List'!BD9</f>
        <v>0</v>
      </c>
      <c r="B826" s="3" t="e">
        <f>COUNTIFS(Table2[How comfortable is your centre? ],Condition_1,#REF!,A826)</f>
        <v>#REF!</v>
      </c>
      <c r="C826" s="3" t="e">
        <f t="shared" si="124"/>
        <v>#REF!</v>
      </c>
      <c r="D826" s="10" t="e">
        <f>B826/(No_who_answered_survey-COUNTIFS(Table2[How comfortable is your centre? ],Condition_1,#REF!,"Not answered"))*100</f>
        <v>#REF!</v>
      </c>
    </row>
    <row r="827" spans="1:4">
      <c r="A827" s="5">
        <f>'Validation List'!BD10</f>
        <v>0</v>
      </c>
      <c r="B827" s="3" t="e">
        <f>COUNTIFS(Table2[How comfortable is your centre? ],Condition_1,#REF!,A827)</f>
        <v>#REF!</v>
      </c>
      <c r="C827" s="3" t="e">
        <f t="shared" si="124"/>
        <v>#REF!</v>
      </c>
      <c r="D827" s="10" t="e">
        <f>B827/(No_who_answered_survey-COUNTIFS(Table2[How comfortable is your centre? ],Condition_1,#REF!,"Not answered"))*100</f>
        <v>#REF!</v>
      </c>
    </row>
    <row r="828" spans="1:4">
      <c r="A828" s="5">
        <f>'Validation List'!BD11</f>
        <v>0</v>
      </c>
      <c r="B828" s="3" t="e">
        <f>COUNTIFS(Table2[How comfortable is your centre? ],Condition_1,#REF!,A828)</f>
        <v>#REF!</v>
      </c>
      <c r="C828" s="3" t="e">
        <f t="shared" ref="C828:C831" si="125">B828/No_who_answered_survey*100</f>
        <v>#REF!</v>
      </c>
      <c r="D828" s="10" t="e">
        <f>B828/(No_who_answered_survey-COUNTIFS(Table2[How comfortable is your centre? ],Condition_1,#REF!,"Not answered"))*100</f>
        <v>#REF!</v>
      </c>
    </row>
    <row r="829" spans="1:4">
      <c r="A829" s="5">
        <f>'Validation List'!BD12</f>
        <v>0</v>
      </c>
      <c r="B829" s="3" t="e">
        <f>COUNTIFS(Table2[How comfortable is your centre? ],Condition_1,#REF!,A829)</f>
        <v>#REF!</v>
      </c>
      <c r="C829" s="3" t="e">
        <f t="shared" si="125"/>
        <v>#REF!</v>
      </c>
      <c r="D829" s="10" t="e">
        <f>B829/(No_who_answered_survey-COUNTIFS(Table2[How comfortable is your centre? ],Condition_1,#REF!,"Not answered"))*100</f>
        <v>#REF!</v>
      </c>
    </row>
    <row r="830" spans="1:4">
      <c r="A830" s="5">
        <f>'Validation List'!BD13</f>
        <v>0</v>
      </c>
      <c r="B830" s="3" t="e">
        <f>COUNTIFS(Table2[How comfortable is your centre? ],Condition_1,#REF!,A830)</f>
        <v>#REF!</v>
      </c>
      <c r="C830" s="3" t="e">
        <f t="shared" si="125"/>
        <v>#REF!</v>
      </c>
      <c r="D830" s="10" t="e">
        <f>B830/(No_who_answered_survey-COUNTIFS(Table2[How comfortable is your centre? ],Condition_1,#REF!,"Not answered"))*100</f>
        <v>#REF!</v>
      </c>
    </row>
    <row r="831" spans="1:4">
      <c r="A831" s="5">
        <f>'Validation List'!BD14</f>
        <v>0</v>
      </c>
      <c r="B831" s="3" t="e">
        <f>COUNTIFS(Table2[How comfortable is your centre? ],Condition_1,#REF!,A831)</f>
        <v>#REF!</v>
      </c>
      <c r="C831" s="3" t="e">
        <f t="shared" si="125"/>
        <v>#REF!</v>
      </c>
      <c r="D831" s="10" t="e">
        <f>B831/(No_who_answered_survey-COUNTIFS(Table2[How comfortable is your centre? ],Condition_1,#REF!,"Not answered"))*100</f>
        <v>#REF!</v>
      </c>
    </row>
    <row r="832" spans="1:4">
      <c r="A832" s="5">
        <f>'Validation List'!BD15</f>
        <v>0</v>
      </c>
      <c r="B832" s="3" t="e">
        <f>COUNTIFS(Table2[How comfortable is your centre? ],Condition_1,#REF!,A832)</f>
        <v>#REF!</v>
      </c>
      <c r="C832" s="3" t="e">
        <f t="shared" si="124"/>
        <v>#REF!</v>
      </c>
      <c r="D832" s="10"/>
    </row>
    <row r="833" spans="1:4">
      <c r="A833" s="5" t="s">
        <v>39</v>
      </c>
      <c r="B833" s="3" t="e">
        <f>SUM(B823:B832)</f>
        <v>#REF!</v>
      </c>
      <c r="C833" s="3" t="e">
        <f t="shared" ref="C833:D833" si="126">SUM(C823:C832)</f>
        <v>#REF!</v>
      </c>
      <c r="D833" s="3" t="e">
        <f t="shared" si="126"/>
        <v>#REF!</v>
      </c>
    </row>
    <row r="834" spans="1:4">
      <c r="A834" s="2"/>
      <c r="B834" s="8"/>
      <c r="C834" s="8"/>
      <c r="D834" s="11"/>
    </row>
    <row r="835" spans="1:4">
      <c r="A835" s="2"/>
      <c r="B835" s="8"/>
      <c r="C835" s="8"/>
      <c r="D835" s="11"/>
    </row>
    <row r="836" spans="1:4">
      <c r="A836" s="58" t="str">
        <f>'Validation List'!BE3</f>
        <v>Question56</v>
      </c>
      <c r="B836" s="59"/>
      <c r="C836" s="59"/>
      <c r="D836" s="60"/>
    </row>
    <row r="837" spans="1:4">
      <c r="A837" s="5"/>
      <c r="B837" s="3" t="s">
        <v>37</v>
      </c>
      <c r="C837" s="3" t="s">
        <v>38</v>
      </c>
      <c r="D837" s="10" t="s">
        <v>40</v>
      </c>
    </row>
    <row r="838" spans="1:4">
      <c r="A838" s="5">
        <f>'Validation List'!BE6</f>
        <v>0</v>
      </c>
      <c r="B838" s="3" t="e">
        <f>COUNTIFS(Table2[How comfortable is your centre? ],Condition_1,#REF!,A838)</f>
        <v>#REF!</v>
      </c>
      <c r="C838" s="3" t="e">
        <f t="shared" ref="C838:C847" si="127">B838/No_who_answered_survey*100</f>
        <v>#REF!</v>
      </c>
      <c r="D838" s="10" t="e">
        <f>B838/(No_who_answered_survey-COUNTIFS(Table2[How comfortable is your centre? ],Condition_1,#REF!,"Not answered"))*100</f>
        <v>#REF!</v>
      </c>
    </row>
    <row r="839" spans="1:4">
      <c r="A839" s="5">
        <f>'Validation List'!BE7</f>
        <v>0</v>
      </c>
      <c r="B839" s="3" t="e">
        <f>COUNTIFS(Table2[How comfortable is your centre? ],Condition_1,#REF!,A839)</f>
        <v>#REF!</v>
      </c>
      <c r="C839" s="3" t="e">
        <f t="shared" si="127"/>
        <v>#REF!</v>
      </c>
      <c r="D839" s="10" t="e">
        <f>B839/(No_who_answered_survey-COUNTIFS(Table2[How comfortable is your centre? ],Condition_1,#REF!,"Not answered"))*100</f>
        <v>#REF!</v>
      </c>
    </row>
    <row r="840" spans="1:4">
      <c r="A840" s="5">
        <f>'Validation List'!BE8</f>
        <v>0</v>
      </c>
      <c r="B840" s="3" t="e">
        <f>COUNTIFS(Table2[How comfortable is your centre? ],Condition_1,#REF!,A840)</f>
        <v>#REF!</v>
      </c>
      <c r="C840" s="3" t="e">
        <f t="shared" si="127"/>
        <v>#REF!</v>
      </c>
      <c r="D840" s="10" t="e">
        <f>B840/(No_who_answered_survey-COUNTIFS(Table2[How comfortable is your centre? ],Condition_1,#REF!,"Not answered"))*100</f>
        <v>#REF!</v>
      </c>
    </row>
    <row r="841" spans="1:4">
      <c r="A841" s="5">
        <f>'Validation List'!BE9</f>
        <v>0</v>
      </c>
      <c r="B841" s="3" t="e">
        <f>COUNTIFS(Table2[How comfortable is your centre? ],Condition_1,#REF!,A841)</f>
        <v>#REF!</v>
      </c>
      <c r="C841" s="3" t="e">
        <f t="shared" si="127"/>
        <v>#REF!</v>
      </c>
      <c r="D841" s="10" t="e">
        <f>B841/(No_who_answered_survey-COUNTIFS(Table2[How comfortable is your centre? ],Condition_1,#REF!,"Not answered"))*100</f>
        <v>#REF!</v>
      </c>
    </row>
    <row r="842" spans="1:4">
      <c r="A842" s="5">
        <f>'Validation List'!BE10</f>
        <v>0</v>
      </c>
      <c r="B842" s="3" t="e">
        <f>COUNTIFS(Table2[How comfortable is your centre? ],Condition_1,#REF!,A842)</f>
        <v>#REF!</v>
      </c>
      <c r="C842" s="3" t="e">
        <f t="shared" si="127"/>
        <v>#REF!</v>
      </c>
      <c r="D842" s="10" t="e">
        <f>B842/(No_who_answered_survey-COUNTIFS(Table2[How comfortable is your centre? ],Condition_1,#REF!,"Not answered"))*100</f>
        <v>#REF!</v>
      </c>
    </row>
    <row r="843" spans="1:4">
      <c r="A843" s="5">
        <f>'Validation List'!BE11</f>
        <v>0</v>
      </c>
      <c r="B843" s="3" t="e">
        <f>COUNTIFS(Table2[How comfortable is your centre? ],Condition_1,#REF!,A843)</f>
        <v>#REF!</v>
      </c>
      <c r="C843" s="3" t="e">
        <f t="shared" ref="C843:C846" si="128">B843/No_who_answered_survey*100</f>
        <v>#REF!</v>
      </c>
      <c r="D843" s="10" t="e">
        <f>B843/(No_who_answered_survey-COUNTIFS(Table2[How comfortable is your centre? ],Condition_1,#REF!,"Not answered"))*100</f>
        <v>#REF!</v>
      </c>
    </row>
    <row r="844" spans="1:4">
      <c r="A844" s="5">
        <f>'Validation List'!BE12</f>
        <v>0</v>
      </c>
      <c r="B844" s="3" t="e">
        <f>COUNTIFS(Table2[How comfortable is your centre? ],Condition_1,#REF!,A844)</f>
        <v>#REF!</v>
      </c>
      <c r="C844" s="3" t="e">
        <f t="shared" si="128"/>
        <v>#REF!</v>
      </c>
      <c r="D844" s="10" t="e">
        <f>B844/(No_who_answered_survey-COUNTIFS(Table2[How comfortable is your centre? ],Condition_1,#REF!,"Not answered"))*100</f>
        <v>#REF!</v>
      </c>
    </row>
    <row r="845" spans="1:4">
      <c r="A845" s="5">
        <f>'Validation List'!BE13</f>
        <v>0</v>
      </c>
      <c r="B845" s="3" t="e">
        <f>COUNTIFS(Table2[How comfortable is your centre? ],Condition_1,#REF!,A845)</f>
        <v>#REF!</v>
      </c>
      <c r="C845" s="3" t="e">
        <f t="shared" si="128"/>
        <v>#REF!</v>
      </c>
      <c r="D845" s="10" t="e">
        <f>B845/(No_who_answered_survey-COUNTIFS(Table2[How comfortable is your centre? ],Condition_1,#REF!,"Not answered"))*100</f>
        <v>#REF!</v>
      </c>
    </row>
    <row r="846" spans="1:4">
      <c r="A846" s="5">
        <f>'Validation List'!BE14</f>
        <v>0</v>
      </c>
      <c r="B846" s="3" t="e">
        <f>COUNTIFS(Table2[How comfortable is your centre? ],Condition_1,#REF!,A846)</f>
        <v>#REF!</v>
      </c>
      <c r="C846" s="3" t="e">
        <f t="shared" si="128"/>
        <v>#REF!</v>
      </c>
      <c r="D846" s="10" t="e">
        <f>B846/(No_who_answered_survey-COUNTIFS(Table2[How comfortable is your centre? ],Condition_1,#REF!,"Not answered"))*100</f>
        <v>#REF!</v>
      </c>
    </row>
    <row r="847" spans="1:4">
      <c r="A847" s="5">
        <f>'Validation List'!BE15</f>
        <v>0</v>
      </c>
      <c r="B847" s="3" t="e">
        <f>COUNTIFS(Table2[How comfortable is your centre? ],Condition_1,#REF!,A847)</f>
        <v>#REF!</v>
      </c>
      <c r="C847" s="3" t="e">
        <f t="shared" si="127"/>
        <v>#REF!</v>
      </c>
      <c r="D847" s="10"/>
    </row>
    <row r="848" spans="1:4">
      <c r="A848" s="5" t="s">
        <v>39</v>
      </c>
      <c r="B848" s="3" t="e">
        <f>SUM(B838:B847)</f>
        <v>#REF!</v>
      </c>
      <c r="C848" s="3" t="e">
        <f t="shared" ref="C848:D848" si="129">SUM(C838:C847)</f>
        <v>#REF!</v>
      </c>
      <c r="D848" s="3" t="e">
        <f t="shared" si="129"/>
        <v>#REF!</v>
      </c>
    </row>
    <row r="849" spans="1:4">
      <c r="A849" s="2"/>
      <c r="B849" s="8"/>
      <c r="C849" s="8"/>
      <c r="D849" s="11"/>
    </row>
    <row r="850" spans="1:4">
      <c r="A850" s="2"/>
      <c r="B850" s="8"/>
      <c r="C850" s="8"/>
      <c r="D850" s="11"/>
    </row>
    <row r="851" spans="1:4">
      <c r="A851" s="58" t="str">
        <f>'Validation List'!BF3</f>
        <v>Question57</v>
      </c>
      <c r="B851" s="59"/>
      <c r="C851" s="59"/>
      <c r="D851" s="60"/>
    </row>
    <row r="852" spans="1:4">
      <c r="A852" s="5"/>
      <c r="B852" s="3" t="s">
        <v>37</v>
      </c>
      <c r="C852" s="3" t="s">
        <v>38</v>
      </c>
      <c r="D852" s="10" t="s">
        <v>40</v>
      </c>
    </row>
    <row r="853" spans="1:4">
      <c r="A853" s="5">
        <f>'Validation List'!BF6</f>
        <v>0</v>
      </c>
      <c r="B853" s="3" t="e">
        <f>COUNTIFS(Table2[How comfortable is your centre? ],Condition_1,#REF!,A853)</f>
        <v>#REF!</v>
      </c>
      <c r="C853" s="3" t="e">
        <f t="shared" ref="C853:C862" si="130">B853/No_who_answered_survey*100</f>
        <v>#REF!</v>
      </c>
      <c r="D853" s="10" t="e">
        <f>B853/(No_who_answered_survey-COUNTIFS(Table2[How comfortable is your centre? ],Condition_1,#REF!,"Not answered"))*100</f>
        <v>#REF!</v>
      </c>
    </row>
    <row r="854" spans="1:4">
      <c r="A854" s="5">
        <f>'Validation List'!BF7</f>
        <v>0</v>
      </c>
      <c r="B854" s="3" t="e">
        <f>COUNTIFS(Table2[How comfortable is your centre? ],Condition_1,#REF!,A854)</f>
        <v>#REF!</v>
      </c>
      <c r="C854" s="3" t="e">
        <f t="shared" si="130"/>
        <v>#REF!</v>
      </c>
      <c r="D854" s="10" t="e">
        <f>B854/(No_who_answered_survey-COUNTIFS(Table2[How comfortable is your centre? ],Condition_1,#REF!,"Not answered"))*100</f>
        <v>#REF!</v>
      </c>
    </row>
    <row r="855" spans="1:4">
      <c r="A855" s="5">
        <f>'Validation List'!BF8</f>
        <v>0</v>
      </c>
      <c r="B855" s="3" t="e">
        <f>COUNTIFS(Table2[How comfortable is your centre? ],Condition_1,#REF!,A855)</f>
        <v>#REF!</v>
      </c>
      <c r="C855" s="3" t="e">
        <f t="shared" si="130"/>
        <v>#REF!</v>
      </c>
      <c r="D855" s="10" t="e">
        <f>B855/(No_who_answered_survey-COUNTIFS(Table2[How comfortable is your centre? ],Condition_1,#REF!,"Not answered"))*100</f>
        <v>#REF!</v>
      </c>
    </row>
    <row r="856" spans="1:4">
      <c r="A856" s="5">
        <f>'Validation List'!BF9</f>
        <v>0</v>
      </c>
      <c r="B856" s="3" t="e">
        <f>COUNTIFS(Table2[How comfortable is your centre? ],Condition_1,#REF!,A856)</f>
        <v>#REF!</v>
      </c>
      <c r="C856" s="3" t="e">
        <f t="shared" si="130"/>
        <v>#REF!</v>
      </c>
      <c r="D856" s="10" t="e">
        <f>B856/(No_who_answered_survey-COUNTIFS(Table2[How comfortable is your centre? ],Condition_1,#REF!,"Not answered"))*100</f>
        <v>#REF!</v>
      </c>
    </row>
    <row r="857" spans="1:4">
      <c r="A857" s="5">
        <f>'Validation List'!BF10</f>
        <v>0</v>
      </c>
      <c r="B857" s="3" t="e">
        <f>COUNTIFS(Table2[How comfortable is your centre? ],Condition_1,#REF!,A857)</f>
        <v>#REF!</v>
      </c>
      <c r="C857" s="3" t="e">
        <f t="shared" si="130"/>
        <v>#REF!</v>
      </c>
      <c r="D857" s="10" t="e">
        <f>B857/(No_who_answered_survey-COUNTIFS(Table2[How comfortable is your centre? ],Condition_1,#REF!,"Not answered"))*100</f>
        <v>#REF!</v>
      </c>
    </row>
    <row r="858" spans="1:4">
      <c r="A858" s="5">
        <f>'Validation List'!BF11</f>
        <v>0</v>
      </c>
      <c r="B858" s="3" t="e">
        <f>COUNTIFS(Table2[How comfortable is your centre? ],Condition_1,#REF!,A858)</f>
        <v>#REF!</v>
      </c>
      <c r="C858" s="3" t="e">
        <f t="shared" ref="C858:C861" si="131">B858/No_who_answered_survey*100</f>
        <v>#REF!</v>
      </c>
      <c r="D858" s="10" t="e">
        <f>B858/(No_who_answered_survey-COUNTIFS(Table2[How comfortable is your centre? ],Condition_1,#REF!,"Not answered"))*100</f>
        <v>#REF!</v>
      </c>
    </row>
    <row r="859" spans="1:4">
      <c r="A859" s="5">
        <f>'Validation List'!BF12</f>
        <v>0</v>
      </c>
      <c r="B859" s="3" t="e">
        <f>COUNTIFS(Table2[How comfortable is your centre? ],Condition_1,#REF!,A859)</f>
        <v>#REF!</v>
      </c>
      <c r="C859" s="3" t="e">
        <f t="shared" si="131"/>
        <v>#REF!</v>
      </c>
      <c r="D859" s="10" t="e">
        <f>B859/(No_who_answered_survey-COUNTIFS(Table2[How comfortable is your centre? ],Condition_1,#REF!,"Not answered"))*100</f>
        <v>#REF!</v>
      </c>
    </row>
    <row r="860" spans="1:4">
      <c r="A860" s="5">
        <f>'Validation List'!BF13</f>
        <v>0</v>
      </c>
      <c r="B860" s="3" t="e">
        <f>COUNTIFS(Table2[How comfortable is your centre? ],Condition_1,#REF!,A860)</f>
        <v>#REF!</v>
      </c>
      <c r="C860" s="3" t="e">
        <f t="shared" si="131"/>
        <v>#REF!</v>
      </c>
      <c r="D860" s="10" t="e">
        <f>B860/(No_who_answered_survey-COUNTIFS(Table2[How comfortable is your centre? ],Condition_1,#REF!,"Not answered"))*100</f>
        <v>#REF!</v>
      </c>
    </row>
    <row r="861" spans="1:4">
      <c r="A861" s="5">
        <f>'Validation List'!BF14</f>
        <v>0</v>
      </c>
      <c r="B861" s="3" t="e">
        <f>COUNTIFS(Table2[How comfortable is your centre? ],Condition_1,#REF!,A861)</f>
        <v>#REF!</v>
      </c>
      <c r="C861" s="3" t="e">
        <f t="shared" si="131"/>
        <v>#REF!</v>
      </c>
      <c r="D861" s="10" t="e">
        <f>B861/(No_who_answered_survey-COUNTIFS(Table2[How comfortable is your centre? ],Condition_1,#REF!,"Not answered"))*100</f>
        <v>#REF!</v>
      </c>
    </row>
    <row r="862" spans="1:4">
      <c r="A862" s="5">
        <f>'Validation List'!BF15</f>
        <v>0</v>
      </c>
      <c r="B862" s="3" t="e">
        <f>COUNTIFS(Table2[How comfortable is your centre? ],Condition_1,#REF!,A862)</f>
        <v>#REF!</v>
      </c>
      <c r="C862" s="3" t="e">
        <f t="shared" si="130"/>
        <v>#REF!</v>
      </c>
      <c r="D862" s="10"/>
    </row>
    <row r="863" spans="1:4">
      <c r="A863" s="5" t="s">
        <v>39</v>
      </c>
      <c r="B863" s="3" t="e">
        <f>SUM(B853:B862)</f>
        <v>#REF!</v>
      </c>
      <c r="C863" s="3" t="e">
        <f t="shared" ref="C863:D863" si="132">SUM(C853:C862)</f>
        <v>#REF!</v>
      </c>
      <c r="D863" s="3" t="e">
        <f t="shared" si="132"/>
        <v>#REF!</v>
      </c>
    </row>
    <row r="864" spans="1:4">
      <c r="A864" s="2"/>
      <c r="B864" s="8"/>
      <c r="C864" s="8"/>
      <c r="D864" s="11"/>
    </row>
    <row r="865" spans="1:4">
      <c r="A865" s="2"/>
      <c r="B865" s="8"/>
      <c r="C865" s="8"/>
      <c r="D865" s="11"/>
    </row>
    <row r="866" spans="1:4">
      <c r="A866" s="58" t="str">
        <f>'Validation List'!BG3</f>
        <v>Question58</v>
      </c>
      <c r="B866" s="59"/>
      <c r="C866" s="59"/>
      <c r="D866" s="60"/>
    </row>
    <row r="867" spans="1:4">
      <c r="A867" s="5"/>
      <c r="B867" s="3" t="s">
        <v>37</v>
      </c>
      <c r="C867" s="3" t="s">
        <v>38</v>
      </c>
      <c r="D867" s="10" t="s">
        <v>40</v>
      </c>
    </row>
    <row r="868" spans="1:4">
      <c r="A868" s="5">
        <f>'Validation List'!BG6</f>
        <v>0</v>
      </c>
      <c r="B868" s="3" t="e">
        <f>COUNTIFS(Table2[How comfortable is your centre? ],Condition_1,#REF!,A868)</f>
        <v>#REF!</v>
      </c>
      <c r="C868" s="3" t="e">
        <f t="shared" ref="C868:C877" si="133">B868/No_who_answered_survey*100</f>
        <v>#REF!</v>
      </c>
      <c r="D868" s="10" t="e">
        <f>B868/(No_who_answered_survey-COUNTIFS(Table2[How comfortable is your centre? ],Condition_1,#REF!,"Not answered"))*100</f>
        <v>#REF!</v>
      </c>
    </row>
    <row r="869" spans="1:4">
      <c r="A869" s="5">
        <f>'Validation List'!BG7</f>
        <v>0</v>
      </c>
      <c r="B869" s="3" t="e">
        <f>COUNTIFS(Table2[How comfortable is your centre? ],Condition_1,#REF!,A869)</f>
        <v>#REF!</v>
      </c>
      <c r="C869" s="3" t="e">
        <f t="shared" si="133"/>
        <v>#REF!</v>
      </c>
      <c r="D869" s="10" t="e">
        <f>B869/(No_who_answered_survey-COUNTIFS(Table2[How comfortable is your centre? ],Condition_1,#REF!,"Not answered"))*100</f>
        <v>#REF!</v>
      </c>
    </row>
    <row r="870" spans="1:4">
      <c r="A870" s="5">
        <f>'Validation List'!BG8</f>
        <v>0</v>
      </c>
      <c r="B870" s="3" t="e">
        <f>COUNTIFS(Table2[How comfortable is your centre? ],Condition_1,#REF!,A870)</f>
        <v>#REF!</v>
      </c>
      <c r="C870" s="3" t="e">
        <f t="shared" si="133"/>
        <v>#REF!</v>
      </c>
      <c r="D870" s="10" t="e">
        <f>B870/(No_who_answered_survey-COUNTIFS(Table2[How comfortable is your centre? ],Condition_1,#REF!,"Not answered"))*100</f>
        <v>#REF!</v>
      </c>
    </row>
    <row r="871" spans="1:4">
      <c r="A871" s="5">
        <f>'Validation List'!BG9</f>
        <v>0</v>
      </c>
      <c r="B871" s="3" t="e">
        <f>COUNTIFS(Table2[How comfortable is your centre? ],Condition_1,#REF!,A871)</f>
        <v>#REF!</v>
      </c>
      <c r="C871" s="3" t="e">
        <f t="shared" si="133"/>
        <v>#REF!</v>
      </c>
      <c r="D871" s="10" t="e">
        <f>B871/(No_who_answered_survey-COUNTIFS(Table2[How comfortable is your centre? ],Condition_1,#REF!,"Not answered"))*100</f>
        <v>#REF!</v>
      </c>
    </row>
    <row r="872" spans="1:4">
      <c r="A872" s="5">
        <f>'Validation List'!BG10</f>
        <v>0</v>
      </c>
      <c r="B872" s="3" t="e">
        <f>COUNTIFS(Table2[How comfortable is your centre? ],Condition_1,#REF!,A872)</f>
        <v>#REF!</v>
      </c>
      <c r="C872" s="3" t="e">
        <f t="shared" si="133"/>
        <v>#REF!</v>
      </c>
      <c r="D872" s="10" t="e">
        <f>B872/(No_who_answered_survey-COUNTIFS(Table2[How comfortable is your centre? ],Condition_1,#REF!,"Not answered"))*100</f>
        <v>#REF!</v>
      </c>
    </row>
    <row r="873" spans="1:4">
      <c r="A873" s="5">
        <f>'Validation List'!BG11</f>
        <v>0</v>
      </c>
      <c r="B873" s="3" t="e">
        <f>COUNTIFS(Table2[How comfortable is your centre? ],Condition_1,#REF!,A873)</f>
        <v>#REF!</v>
      </c>
      <c r="C873" s="3" t="e">
        <f t="shared" ref="C873:C876" si="134">B873/No_who_answered_survey*100</f>
        <v>#REF!</v>
      </c>
      <c r="D873" s="10" t="e">
        <f>B873/(No_who_answered_survey-COUNTIFS(Table2[How comfortable is your centre? ],Condition_1,#REF!,"Not answered"))*100</f>
        <v>#REF!</v>
      </c>
    </row>
    <row r="874" spans="1:4">
      <c r="A874" s="5">
        <f>'Validation List'!BG12</f>
        <v>0</v>
      </c>
      <c r="B874" s="3" t="e">
        <f>COUNTIFS(Table2[How comfortable is your centre? ],Condition_1,#REF!,A874)</f>
        <v>#REF!</v>
      </c>
      <c r="C874" s="3" t="e">
        <f t="shared" si="134"/>
        <v>#REF!</v>
      </c>
      <c r="D874" s="10" t="e">
        <f>B874/(No_who_answered_survey-COUNTIFS(Table2[How comfortable is your centre? ],Condition_1,#REF!,"Not answered"))*100</f>
        <v>#REF!</v>
      </c>
    </row>
    <row r="875" spans="1:4">
      <c r="A875" s="5">
        <f>'Validation List'!BG13</f>
        <v>0</v>
      </c>
      <c r="B875" s="3" t="e">
        <f>COUNTIFS(Table2[How comfortable is your centre? ],Condition_1,#REF!,A875)</f>
        <v>#REF!</v>
      </c>
      <c r="C875" s="3" t="e">
        <f t="shared" si="134"/>
        <v>#REF!</v>
      </c>
      <c r="D875" s="10" t="e">
        <f>B875/(No_who_answered_survey-COUNTIFS(Table2[How comfortable is your centre? ],Condition_1,#REF!,"Not answered"))*100</f>
        <v>#REF!</v>
      </c>
    </row>
    <row r="876" spans="1:4">
      <c r="A876" s="5">
        <f>'Validation List'!BG14</f>
        <v>0</v>
      </c>
      <c r="B876" s="3" t="e">
        <f>COUNTIFS(Table2[How comfortable is your centre? ],Condition_1,#REF!,A876)</f>
        <v>#REF!</v>
      </c>
      <c r="C876" s="3" t="e">
        <f t="shared" si="134"/>
        <v>#REF!</v>
      </c>
      <c r="D876" s="10" t="e">
        <f>B876/(No_who_answered_survey-COUNTIFS(Table2[How comfortable is your centre? ],Condition_1,#REF!,"Not answered"))*100</f>
        <v>#REF!</v>
      </c>
    </row>
    <row r="877" spans="1:4">
      <c r="A877" s="5">
        <f>'Validation List'!BG15</f>
        <v>0</v>
      </c>
      <c r="B877" s="3" t="e">
        <f>COUNTIFS(Table2[How comfortable is your centre? ],Condition_1,#REF!,A877)</f>
        <v>#REF!</v>
      </c>
      <c r="C877" s="3" t="e">
        <f t="shared" si="133"/>
        <v>#REF!</v>
      </c>
      <c r="D877" s="10"/>
    </row>
    <row r="878" spans="1:4">
      <c r="A878" s="5" t="s">
        <v>39</v>
      </c>
      <c r="B878" s="3" t="e">
        <f>SUM(B868:B877)</f>
        <v>#REF!</v>
      </c>
      <c r="C878" s="3" t="e">
        <f t="shared" ref="C878:D878" si="135">SUM(C868:C877)</f>
        <v>#REF!</v>
      </c>
      <c r="D878" s="3" t="e">
        <f t="shared" si="135"/>
        <v>#REF!</v>
      </c>
    </row>
    <row r="879" spans="1:4">
      <c r="A879" s="2"/>
      <c r="B879" s="8"/>
      <c r="C879" s="8"/>
      <c r="D879" s="11"/>
    </row>
    <row r="880" spans="1:4">
      <c r="A880" s="2"/>
      <c r="B880" s="8"/>
      <c r="C880" s="8"/>
      <c r="D880" s="11"/>
    </row>
    <row r="881" spans="1:4">
      <c r="A881" s="58" t="str">
        <f>'Validation List'!BH3</f>
        <v>Question59</v>
      </c>
      <c r="B881" s="59"/>
      <c r="C881" s="59"/>
      <c r="D881" s="60"/>
    </row>
    <row r="882" spans="1:4">
      <c r="A882" s="5"/>
      <c r="B882" s="3" t="s">
        <v>37</v>
      </c>
      <c r="C882" s="3" t="s">
        <v>38</v>
      </c>
      <c r="D882" s="10" t="s">
        <v>40</v>
      </c>
    </row>
    <row r="883" spans="1:4">
      <c r="A883" s="5">
        <f>'Validation List'!BH6</f>
        <v>0</v>
      </c>
      <c r="B883" s="3" t="e">
        <f>COUNTIFS(Table2[How comfortable is your centre? ],Condition_1,#REF!,A883)</f>
        <v>#REF!</v>
      </c>
      <c r="C883" s="3" t="e">
        <f t="shared" ref="C883:C892" si="136">B883/No_who_answered_survey*100</f>
        <v>#REF!</v>
      </c>
      <c r="D883" s="10" t="e">
        <f>B883/(No_who_answered_survey-COUNTIFS(Table2[How comfortable is your centre? ],Condition_1,#REF!,"Not answered"))*100</f>
        <v>#REF!</v>
      </c>
    </row>
    <row r="884" spans="1:4">
      <c r="A884" s="5">
        <f>'Validation List'!BH7</f>
        <v>0</v>
      </c>
      <c r="B884" s="3" t="e">
        <f>COUNTIFS(Table2[How comfortable is your centre? ],Condition_1,#REF!,A884)</f>
        <v>#REF!</v>
      </c>
      <c r="C884" s="3" t="e">
        <f t="shared" si="136"/>
        <v>#REF!</v>
      </c>
      <c r="D884" s="10" t="e">
        <f>B884/(No_who_answered_survey-COUNTIFS(Table2[How comfortable is your centre? ],Condition_1,#REF!,"Not answered"))*100</f>
        <v>#REF!</v>
      </c>
    </row>
    <row r="885" spans="1:4">
      <c r="A885" s="5">
        <f>'Validation List'!BH8</f>
        <v>0</v>
      </c>
      <c r="B885" s="3" t="e">
        <f>COUNTIFS(Table2[How comfortable is your centre? ],Condition_1,#REF!,A885)</f>
        <v>#REF!</v>
      </c>
      <c r="C885" s="3" t="e">
        <f t="shared" si="136"/>
        <v>#REF!</v>
      </c>
      <c r="D885" s="10" t="e">
        <f>B885/(No_who_answered_survey-COUNTIFS(Table2[How comfortable is your centre? ],Condition_1,#REF!,"Not answered"))*100</f>
        <v>#REF!</v>
      </c>
    </row>
    <row r="886" spans="1:4">
      <c r="A886" s="5">
        <f>'Validation List'!BH9</f>
        <v>0</v>
      </c>
      <c r="B886" s="3" t="e">
        <f>COUNTIFS(Table2[How comfortable is your centre? ],Condition_1,#REF!,A886)</f>
        <v>#REF!</v>
      </c>
      <c r="C886" s="3" t="e">
        <f t="shared" si="136"/>
        <v>#REF!</v>
      </c>
      <c r="D886" s="10" t="e">
        <f>B886/(No_who_answered_survey-COUNTIFS(Table2[How comfortable is your centre? ],Condition_1,#REF!,"Not answered"))*100</f>
        <v>#REF!</v>
      </c>
    </row>
    <row r="887" spans="1:4">
      <c r="A887" s="5">
        <f>'Validation List'!BH10</f>
        <v>0</v>
      </c>
      <c r="B887" s="3" t="e">
        <f>COUNTIFS(Table2[How comfortable is your centre? ],Condition_1,#REF!,A887)</f>
        <v>#REF!</v>
      </c>
      <c r="C887" s="3" t="e">
        <f t="shared" si="136"/>
        <v>#REF!</v>
      </c>
      <c r="D887" s="10" t="e">
        <f>B887/(No_who_answered_survey-COUNTIFS(Table2[How comfortable is your centre? ],Condition_1,#REF!,"Not answered"))*100</f>
        <v>#REF!</v>
      </c>
    </row>
    <row r="888" spans="1:4">
      <c r="A888" s="5">
        <f>'Validation List'!BH11</f>
        <v>0</v>
      </c>
      <c r="B888" s="3" t="e">
        <f>COUNTIFS(Table2[How comfortable is your centre? ],Condition_1,#REF!,A888)</f>
        <v>#REF!</v>
      </c>
      <c r="C888" s="3" t="e">
        <f t="shared" ref="C888:C891" si="137">B888/No_who_answered_survey*100</f>
        <v>#REF!</v>
      </c>
      <c r="D888" s="10" t="e">
        <f>B888/(No_who_answered_survey-COUNTIFS(Table2[How comfortable is your centre? ],Condition_1,#REF!,"Not answered"))*100</f>
        <v>#REF!</v>
      </c>
    </row>
    <row r="889" spans="1:4">
      <c r="A889" s="5">
        <f>'Validation List'!BH12</f>
        <v>0</v>
      </c>
      <c r="B889" s="3" t="e">
        <f>COUNTIFS(Table2[How comfortable is your centre? ],Condition_1,#REF!,A889)</f>
        <v>#REF!</v>
      </c>
      <c r="C889" s="3" t="e">
        <f t="shared" si="137"/>
        <v>#REF!</v>
      </c>
      <c r="D889" s="10" t="e">
        <f>B889/(No_who_answered_survey-COUNTIFS(Table2[How comfortable is your centre? ],Condition_1,#REF!,"Not answered"))*100</f>
        <v>#REF!</v>
      </c>
    </row>
    <row r="890" spans="1:4">
      <c r="A890" s="5">
        <f>'Validation List'!BH13</f>
        <v>0</v>
      </c>
      <c r="B890" s="3" t="e">
        <f>COUNTIFS(Table2[How comfortable is your centre? ],Condition_1,#REF!,A890)</f>
        <v>#REF!</v>
      </c>
      <c r="C890" s="3" t="e">
        <f t="shared" si="137"/>
        <v>#REF!</v>
      </c>
      <c r="D890" s="10" t="e">
        <f>B890/(No_who_answered_survey-COUNTIFS(Table2[How comfortable is your centre? ],Condition_1,#REF!,"Not answered"))*100</f>
        <v>#REF!</v>
      </c>
    </row>
    <row r="891" spans="1:4">
      <c r="A891" s="5">
        <f>'Validation List'!BH14</f>
        <v>0</v>
      </c>
      <c r="B891" s="3" t="e">
        <f>COUNTIFS(Table2[How comfortable is your centre? ],Condition_1,#REF!,A891)</f>
        <v>#REF!</v>
      </c>
      <c r="C891" s="3" t="e">
        <f t="shared" si="137"/>
        <v>#REF!</v>
      </c>
      <c r="D891" s="10" t="e">
        <f>B891/(No_who_answered_survey-COUNTIFS(Table2[How comfortable is your centre? ],Condition_1,#REF!,"Not answered"))*100</f>
        <v>#REF!</v>
      </c>
    </row>
    <row r="892" spans="1:4">
      <c r="A892" s="5">
        <f>'Validation List'!BH15</f>
        <v>0</v>
      </c>
      <c r="B892" s="3" t="e">
        <f>COUNTIFS(Table2[How comfortable is your centre? ],Condition_1,#REF!,A892)</f>
        <v>#REF!</v>
      </c>
      <c r="C892" s="3" t="e">
        <f t="shared" si="136"/>
        <v>#REF!</v>
      </c>
      <c r="D892" s="10"/>
    </row>
    <row r="893" spans="1:4">
      <c r="A893" s="5" t="s">
        <v>39</v>
      </c>
      <c r="B893" s="3" t="e">
        <f>SUM(B883:B892)</f>
        <v>#REF!</v>
      </c>
      <c r="C893" s="3" t="e">
        <f t="shared" ref="C893:D893" si="138">SUM(C883:C892)</f>
        <v>#REF!</v>
      </c>
      <c r="D893" s="3" t="e">
        <f t="shared" si="138"/>
        <v>#REF!</v>
      </c>
    </row>
    <row r="894" spans="1:4">
      <c r="A894" s="2"/>
      <c r="B894" s="8"/>
      <c r="C894" s="8"/>
      <c r="D894" s="11"/>
    </row>
    <row r="895" spans="1:4">
      <c r="A895" s="2"/>
      <c r="B895" s="8"/>
      <c r="C895" s="8"/>
      <c r="D895" s="11"/>
    </row>
    <row r="896" spans="1:4">
      <c r="A896" s="58" t="str">
        <f>'Validation List'!BI3</f>
        <v>Question60</v>
      </c>
      <c r="B896" s="59"/>
      <c r="C896" s="59"/>
      <c r="D896" s="60"/>
    </row>
    <row r="897" spans="1:4">
      <c r="A897" s="5"/>
      <c r="B897" s="3" t="s">
        <v>37</v>
      </c>
      <c r="C897" s="3" t="s">
        <v>38</v>
      </c>
      <c r="D897" s="10" t="s">
        <v>40</v>
      </c>
    </row>
    <row r="898" spans="1:4">
      <c r="A898" s="5">
        <f>'Validation List'!BI6</f>
        <v>0</v>
      </c>
      <c r="B898" s="3" t="e">
        <f>COUNTIFS(Table2[How comfortable is your centre? ],Condition_1,#REF!,A898)</f>
        <v>#REF!</v>
      </c>
      <c r="C898" s="3" t="e">
        <f t="shared" ref="C898:C907" si="139">B898/No_who_answered_survey*100</f>
        <v>#REF!</v>
      </c>
      <c r="D898" s="10" t="e">
        <f>B898/(No_who_answered_survey-COUNTIFS(Table2[How comfortable is your centre? ],Condition_1,#REF!,"Not answered"))*100</f>
        <v>#REF!</v>
      </c>
    </row>
    <row r="899" spans="1:4">
      <c r="A899" s="5">
        <f>'Validation List'!BI7</f>
        <v>0</v>
      </c>
      <c r="B899" s="3" t="e">
        <f>COUNTIFS(Table2[How comfortable is your centre? ],Condition_1,#REF!,A899)</f>
        <v>#REF!</v>
      </c>
      <c r="C899" s="3" t="e">
        <f t="shared" si="139"/>
        <v>#REF!</v>
      </c>
      <c r="D899" s="10" t="e">
        <f>B899/(No_who_answered_survey-COUNTIFS(Table2[How comfortable is your centre? ],Condition_1,#REF!,"Not answered"))*100</f>
        <v>#REF!</v>
      </c>
    </row>
    <row r="900" spans="1:4">
      <c r="A900" s="5">
        <f>'Validation List'!BI8</f>
        <v>0</v>
      </c>
      <c r="B900" s="3" t="e">
        <f>COUNTIFS(Table2[How comfortable is your centre? ],Condition_1,#REF!,A900)</f>
        <v>#REF!</v>
      </c>
      <c r="C900" s="3" t="e">
        <f t="shared" si="139"/>
        <v>#REF!</v>
      </c>
      <c r="D900" s="10" t="e">
        <f>B900/(No_who_answered_survey-COUNTIFS(Table2[How comfortable is your centre? ],Condition_1,#REF!,"Not answered"))*100</f>
        <v>#REF!</v>
      </c>
    </row>
    <row r="901" spans="1:4">
      <c r="A901" s="5">
        <f>'Validation List'!BI9</f>
        <v>0</v>
      </c>
      <c r="B901" s="3" t="e">
        <f>COUNTIFS(Table2[How comfortable is your centre? ],Condition_1,#REF!,A901)</f>
        <v>#REF!</v>
      </c>
      <c r="C901" s="3" t="e">
        <f t="shared" si="139"/>
        <v>#REF!</v>
      </c>
      <c r="D901" s="10" t="e">
        <f>B901/(No_who_answered_survey-COUNTIFS(Table2[How comfortable is your centre? ],Condition_1,#REF!,"Not answered"))*100</f>
        <v>#REF!</v>
      </c>
    </row>
    <row r="902" spans="1:4">
      <c r="A902" s="5">
        <f>'Validation List'!BI10</f>
        <v>0</v>
      </c>
      <c r="B902" s="3" t="e">
        <f>COUNTIFS(Table2[How comfortable is your centre? ],Condition_1,#REF!,A902)</f>
        <v>#REF!</v>
      </c>
      <c r="C902" s="3" t="e">
        <f t="shared" si="139"/>
        <v>#REF!</v>
      </c>
      <c r="D902" s="10" t="e">
        <f>B902/(No_who_answered_survey-COUNTIFS(Table2[How comfortable is your centre? ],Condition_1,#REF!,"Not answered"))*100</f>
        <v>#REF!</v>
      </c>
    </row>
    <row r="903" spans="1:4">
      <c r="A903" s="5">
        <f>'Validation List'!BI11</f>
        <v>0</v>
      </c>
      <c r="B903" s="3" t="e">
        <f>COUNTIFS(Table2[How comfortable is your centre? ],Condition_1,#REF!,A903)</f>
        <v>#REF!</v>
      </c>
      <c r="C903" s="3" t="e">
        <f t="shared" ref="C903:C906" si="140">B903/No_who_answered_survey*100</f>
        <v>#REF!</v>
      </c>
      <c r="D903" s="10" t="e">
        <f>B903/(No_who_answered_survey-COUNTIFS(Table2[How comfortable is your centre? ],Condition_1,#REF!,"Not answered"))*100</f>
        <v>#REF!</v>
      </c>
    </row>
    <row r="904" spans="1:4">
      <c r="A904" s="5">
        <f>'Validation List'!BI12</f>
        <v>0</v>
      </c>
      <c r="B904" s="3" t="e">
        <f>COUNTIFS(Table2[How comfortable is your centre? ],Condition_1,#REF!,A904)</f>
        <v>#REF!</v>
      </c>
      <c r="C904" s="3" t="e">
        <f t="shared" si="140"/>
        <v>#REF!</v>
      </c>
      <c r="D904" s="10" t="e">
        <f>B904/(No_who_answered_survey-COUNTIFS(Table2[How comfortable is your centre? ],Condition_1,#REF!,"Not answered"))*100</f>
        <v>#REF!</v>
      </c>
    </row>
    <row r="905" spans="1:4">
      <c r="A905" s="5">
        <f>'Validation List'!BI13</f>
        <v>0</v>
      </c>
      <c r="B905" s="3" t="e">
        <f>COUNTIFS(Table2[How comfortable is your centre? ],Condition_1,#REF!,A905)</f>
        <v>#REF!</v>
      </c>
      <c r="C905" s="3" t="e">
        <f t="shared" si="140"/>
        <v>#REF!</v>
      </c>
      <c r="D905" s="10" t="e">
        <f>B905/(No_who_answered_survey-COUNTIFS(Table2[How comfortable is your centre? ],Condition_1,#REF!,"Not answered"))*100</f>
        <v>#REF!</v>
      </c>
    </row>
    <row r="906" spans="1:4">
      <c r="A906" s="5">
        <f>'Validation List'!BI14</f>
        <v>0</v>
      </c>
      <c r="B906" s="3" t="e">
        <f>COUNTIFS(Table2[How comfortable is your centre? ],Condition_1,#REF!,A906)</f>
        <v>#REF!</v>
      </c>
      <c r="C906" s="3" t="e">
        <f t="shared" si="140"/>
        <v>#REF!</v>
      </c>
      <c r="D906" s="10" t="e">
        <f>B906/(No_who_answered_survey-COUNTIFS(Table2[How comfortable is your centre? ],Condition_1,#REF!,"Not answered"))*100</f>
        <v>#REF!</v>
      </c>
    </row>
    <row r="907" spans="1:4">
      <c r="A907" s="5">
        <f>'Validation List'!BI15</f>
        <v>0</v>
      </c>
      <c r="B907" s="3" t="e">
        <f>COUNTIFS(Table2[How comfortable is your centre? ],Condition_1,#REF!,A907)</f>
        <v>#REF!</v>
      </c>
      <c r="C907" s="3" t="e">
        <f t="shared" si="139"/>
        <v>#REF!</v>
      </c>
      <c r="D907" s="10"/>
    </row>
    <row r="908" spans="1:4">
      <c r="A908" s="5" t="s">
        <v>39</v>
      </c>
      <c r="B908" s="3" t="e">
        <f>SUM(B898:B907)</f>
        <v>#REF!</v>
      </c>
      <c r="C908" s="3" t="e">
        <f t="shared" ref="C908:D908" si="141">SUM(C898:C907)</f>
        <v>#REF!</v>
      </c>
      <c r="D908" s="3" t="e">
        <f t="shared" si="141"/>
        <v>#REF!</v>
      </c>
    </row>
    <row r="909" spans="1:4">
      <c r="A909" s="2"/>
      <c r="B909" s="8"/>
      <c r="C909" s="8"/>
      <c r="D909" s="11"/>
    </row>
    <row r="910" spans="1:4">
      <c r="A910" s="2"/>
      <c r="B910" s="8"/>
      <c r="C910" s="8"/>
      <c r="D910" s="11"/>
    </row>
    <row r="911" spans="1:4">
      <c r="A911" s="58" t="str">
        <f>'Validation List'!BJ3</f>
        <v>Question61</v>
      </c>
      <c r="B911" s="59"/>
      <c r="C911" s="59"/>
      <c r="D911" s="60"/>
    </row>
    <row r="912" spans="1:4">
      <c r="A912" s="5"/>
      <c r="B912" s="3" t="s">
        <v>37</v>
      </c>
      <c r="C912" s="3" t="s">
        <v>38</v>
      </c>
      <c r="D912" s="10" t="s">
        <v>40</v>
      </c>
    </row>
    <row r="913" spans="1:4">
      <c r="A913" s="5">
        <f>'Validation List'!BJ6</f>
        <v>0</v>
      </c>
      <c r="B913" s="3" t="e">
        <f>COUNTIFS(Table2[How comfortable is your centre? ],Condition_1,#REF!,A913)</f>
        <v>#REF!</v>
      </c>
      <c r="C913" s="3" t="e">
        <f t="shared" ref="C913:C922" si="142">B913/No_who_answered_survey*100</f>
        <v>#REF!</v>
      </c>
      <c r="D913" s="10" t="e">
        <f>B913/(No_who_answered_survey-COUNTIFS(Table2[How comfortable is your centre? ],Condition_1,#REF!,"Not answered"))*100</f>
        <v>#REF!</v>
      </c>
    </row>
    <row r="914" spans="1:4">
      <c r="A914" s="5">
        <f>'Validation List'!BJ7</f>
        <v>0</v>
      </c>
      <c r="B914" s="3" t="e">
        <f>COUNTIFS(Table2[How comfortable is your centre? ],Condition_1,#REF!,A914)</f>
        <v>#REF!</v>
      </c>
      <c r="C914" s="3" t="e">
        <f t="shared" si="142"/>
        <v>#REF!</v>
      </c>
      <c r="D914" s="10" t="e">
        <f>B914/(No_who_answered_survey-COUNTIFS(Table2[How comfortable is your centre? ],Condition_1,#REF!,"Not answered"))*100</f>
        <v>#REF!</v>
      </c>
    </row>
    <row r="915" spans="1:4">
      <c r="A915" s="5">
        <f>'Validation List'!BJ8</f>
        <v>0</v>
      </c>
      <c r="B915" s="3" t="e">
        <f>COUNTIFS(Table2[How comfortable is your centre? ],Condition_1,#REF!,A915)</f>
        <v>#REF!</v>
      </c>
      <c r="C915" s="3" t="e">
        <f t="shared" si="142"/>
        <v>#REF!</v>
      </c>
      <c r="D915" s="10" t="e">
        <f>B915/(No_who_answered_survey-COUNTIFS(Table2[How comfortable is your centre? ],Condition_1,#REF!,"Not answered"))*100</f>
        <v>#REF!</v>
      </c>
    </row>
    <row r="916" spans="1:4">
      <c r="A916" s="5">
        <f>'Validation List'!BJ9</f>
        <v>0</v>
      </c>
      <c r="B916" s="3" t="e">
        <f>COUNTIFS(Table2[How comfortable is your centre? ],Condition_1,#REF!,A916)</f>
        <v>#REF!</v>
      </c>
      <c r="C916" s="3" t="e">
        <f t="shared" si="142"/>
        <v>#REF!</v>
      </c>
      <c r="D916" s="10" t="e">
        <f>B916/(No_who_answered_survey-COUNTIFS(Table2[How comfortable is your centre? ],Condition_1,#REF!,"Not answered"))*100</f>
        <v>#REF!</v>
      </c>
    </row>
    <row r="917" spans="1:4">
      <c r="A917" s="5">
        <f>'Validation List'!BJ10</f>
        <v>0</v>
      </c>
      <c r="B917" s="3" t="e">
        <f>COUNTIFS(Table2[How comfortable is your centre? ],Condition_1,#REF!,A917)</f>
        <v>#REF!</v>
      </c>
      <c r="C917" s="3" t="e">
        <f t="shared" si="142"/>
        <v>#REF!</v>
      </c>
      <c r="D917" s="10" t="e">
        <f>B917/(No_who_answered_survey-COUNTIFS(Table2[How comfortable is your centre? ],Condition_1,#REF!,"Not answered"))*100</f>
        <v>#REF!</v>
      </c>
    </row>
    <row r="918" spans="1:4">
      <c r="A918" s="5">
        <f>'Validation List'!BJ11</f>
        <v>0</v>
      </c>
      <c r="B918" s="3" t="e">
        <f>COUNTIFS(Table2[How comfortable is your centre? ],Condition_1,#REF!,A918)</f>
        <v>#REF!</v>
      </c>
      <c r="C918" s="3" t="e">
        <f t="shared" ref="C918:C921" si="143">B918/No_who_answered_survey*100</f>
        <v>#REF!</v>
      </c>
      <c r="D918" s="10" t="e">
        <f>B918/(No_who_answered_survey-COUNTIFS(Table2[How comfortable is your centre? ],Condition_1,#REF!,"Not answered"))*100</f>
        <v>#REF!</v>
      </c>
    </row>
    <row r="919" spans="1:4">
      <c r="A919" s="5">
        <f>'Validation List'!BJ12</f>
        <v>0</v>
      </c>
      <c r="B919" s="3" t="e">
        <f>COUNTIFS(Table2[How comfortable is your centre? ],Condition_1,#REF!,A919)</f>
        <v>#REF!</v>
      </c>
      <c r="C919" s="3" t="e">
        <f t="shared" si="143"/>
        <v>#REF!</v>
      </c>
      <c r="D919" s="10" t="e">
        <f>B919/(No_who_answered_survey-COUNTIFS(Table2[How comfortable is your centre? ],Condition_1,#REF!,"Not answered"))*100</f>
        <v>#REF!</v>
      </c>
    </row>
    <row r="920" spans="1:4">
      <c r="A920" s="5">
        <f>'Validation List'!BJ13</f>
        <v>0</v>
      </c>
      <c r="B920" s="3" t="e">
        <f>COUNTIFS(Table2[How comfortable is your centre? ],Condition_1,#REF!,A920)</f>
        <v>#REF!</v>
      </c>
      <c r="C920" s="3" t="e">
        <f t="shared" si="143"/>
        <v>#REF!</v>
      </c>
      <c r="D920" s="10" t="e">
        <f>B920/(No_who_answered_survey-COUNTIFS(Table2[How comfortable is your centre? ],Condition_1,#REF!,"Not answered"))*100</f>
        <v>#REF!</v>
      </c>
    </row>
    <row r="921" spans="1:4">
      <c r="A921" s="5">
        <f>'Validation List'!BJ14</f>
        <v>0</v>
      </c>
      <c r="B921" s="3" t="e">
        <f>COUNTIFS(Table2[How comfortable is your centre? ],Condition_1,#REF!,A921)</f>
        <v>#REF!</v>
      </c>
      <c r="C921" s="3" t="e">
        <f t="shared" si="143"/>
        <v>#REF!</v>
      </c>
      <c r="D921" s="10" t="e">
        <f>B921/(No_who_answered_survey-COUNTIFS(Table2[How comfortable is your centre? ],Condition_1,#REF!,"Not answered"))*100</f>
        <v>#REF!</v>
      </c>
    </row>
    <row r="922" spans="1:4">
      <c r="A922" s="5">
        <f>'Validation List'!BJ15</f>
        <v>0</v>
      </c>
      <c r="B922" s="3" t="e">
        <f>COUNTIFS(Table2[How comfortable is your centre? ],Condition_1,#REF!,A922)</f>
        <v>#REF!</v>
      </c>
      <c r="C922" s="3" t="e">
        <f t="shared" si="142"/>
        <v>#REF!</v>
      </c>
      <c r="D922" s="10"/>
    </row>
    <row r="923" spans="1:4">
      <c r="A923" s="5" t="s">
        <v>39</v>
      </c>
      <c r="B923" s="3" t="e">
        <f>SUM(B913:B922)</f>
        <v>#REF!</v>
      </c>
      <c r="C923" s="3" t="e">
        <f t="shared" ref="C923:D923" si="144">SUM(C913:C922)</f>
        <v>#REF!</v>
      </c>
      <c r="D923" s="3" t="e">
        <f t="shared" si="144"/>
        <v>#REF!</v>
      </c>
    </row>
    <row r="924" spans="1:4">
      <c r="A924" s="2"/>
      <c r="B924" s="8"/>
      <c r="C924" s="8"/>
      <c r="D924" s="11"/>
    </row>
    <row r="925" spans="1:4">
      <c r="A925" s="2"/>
      <c r="B925" s="8"/>
      <c r="C925" s="8"/>
      <c r="D925" s="11"/>
    </row>
    <row r="926" spans="1:4">
      <c r="A926" s="58" t="str">
        <f>'Validation List'!BK3</f>
        <v>Question62</v>
      </c>
      <c r="B926" s="59"/>
      <c r="C926" s="59"/>
      <c r="D926" s="60"/>
    </row>
    <row r="927" spans="1:4">
      <c r="A927" s="5"/>
      <c r="B927" s="3" t="s">
        <v>37</v>
      </c>
      <c r="C927" s="3" t="s">
        <v>38</v>
      </c>
      <c r="D927" s="10" t="s">
        <v>40</v>
      </c>
    </row>
    <row r="928" spans="1:4">
      <c r="A928" s="5">
        <f>'Validation List'!BK6</f>
        <v>0</v>
      </c>
      <c r="B928" s="3" t="e">
        <f>COUNTIFS(Table2[How comfortable is your centre? ],Condition_1,#REF!,A928)</f>
        <v>#REF!</v>
      </c>
      <c r="C928" s="3" t="e">
        <f t="shared" ref="C928:C937" si="145">B928/No_who_answered_survey*100</f>
        <v>#REF!</v>
      </c>
      <c r="D928" s="10" t="e">
        <f>B928/(No_who_answered_survey-COUNTIFS(Table2[How comfortable is your centre? ],Condition_1,#REF!,"Not answered"))*100</f>
        <v>#REF!</v>
      </c>
    </row>
    <row r="929" spans="1:4">
      <c r="A929" s="5">
        <f>'Validation List'!BK7</f>
        <v>0</v>
      </c>
      <c r="B929" s="3" t="e">
        <f>COUNTIFS(Table2[How comfortable is your centre? ],Condition_1,#REF!,A929)</f>
        <v>#REF!</v>
      </c>
      <c r="C929" s="3" t="e">
        <f t="shared" si="145"/>
        <v>#REF!</v>
      </c>
      <c r="D929" s="10" t="e">
        <f>B929/(No_who_answered_survey-COUNTIFS(Table2[How comfortable is your centre? ],Condition_1,#REF!,"Not answered"))*100</f>
        <v>#REF!</v>
      </c>
    </row>
    <row r="930" spans="1:4">
      <c r="A930" s="5">
        <f>'Validation List'!BK8</f>
        <v>0</v>
      </c>
      <c r="B930" s="3" t="e">
        <f>COUNTIFS(Table2[How comfortable is your centre? ],Condition_1,#REF!,A930)</f>
        <v>#REF!</v>
      </c>
      <c r="C930" s="3" t="e">
        <f t="shared" si="145"/>
        <v>#REF!</v>
      </c>
      <c r="D930" s="10" t="e">
        <f>B930/(No_who_answered_survey-COUNTIFS(Table2[How comfortable is your centre? ],Condition_1,#REF!,"Not answered"))*100</f>
        <v>#REF!</v>
      </c>
    </row>
    <row r="931" spans="1:4">
      <c r="A931" s="5">
        <f>'Validation List'!BK9</f>
        <v>0</v>
      </c>
      <c r="B931" s="3" t="e">
        <f>COUNTIFS(Table2[How comfortable is your centre? ],Condition_1,#REF!,A931)</f>
        <v>#REF!</v>
      </c>
      <c r="C931" s="3" t="e">
        <f t="shared" si="145"/>
        <v>#REF!</v>
      </c>
      <c r="D931" s="10" t="e">
        <f>B931/(No_who_answered_survey-COUNTIFS(Table2[How comfortable is your centre? ],Condition_1,#REF!,"Not answered"))*100</f>
        <v>#REF!</v>
      </c>
    </row>
    <row r="932" spans="1:4">
      <c r="A932" s="5">
        <f>'Validation List'!BK10</f>
        <v>0</v>
      </c>
      <c r="B932" s="3" t="e">
        <f>COUNTIFS(Table2[How comfortable is your centre? ],Condition_1,#REF!,A932)</f>
        <v>#REF!</v>
      </c>
      <c r="C932" s="3" t="e">
        <f t="shared" si="145"/>
        <v>#REF!</v>
      </c>
      <c r="D932" s="10" t="e">
        <f>B932/(No_who_answered_survey-COUNTIFS(Table2[How comfortable is your centre? ],Condition_1,#REF!,"Not answered"))*100</f>
        <v>#REF!</v>
      </c>
    </row>
    <row r="933" spans="1:4">
      <c r="A933" s="5">
        <f>'Validation List'!BK11</f>
        <v>0</v>
      </c>
      <c r="B933" s="3" t="e">
        <f>COUNTIFS(Table2[How comfortable is your centre? ],Condition_1,#REF!,A933)</f>
        <v>#REF!</v>
      </c>
      <c r="C933" s="3" t="e">
        <f t="shared" ref="C933:C936" si="146">B933/No_who_answered_survey*100</f>
        <v>#REF!</v>
      </c>
      <c r="D933" s="10" t="e">
        <f>B933/(No_who_answered_survey-COUNTIFS(Table2[How comfortable is your centre? ],Condition_1,#REF!,"Not answered"))*100</f>
        <v>#REF!</v>
      </c>
    </row>
    <row r="934" spans="1:4">
      <c r="A934" s="5">
        <f>'Validation List'!BK12</f>
        <v>0</v>
      </c>
      <c r="B934" s="3" t="e">
        <f>COUNTIFS(Table2[How comfortable is your centre? ],Condition_1,#REF!,A934)</f>
        <v>#REF!</v>
      </c>
      <c r="C934" s="3" t="e">
        <f t="shared" si="146"/>
        <v>#REF!</v>
      </c>
      <c r="D934" s="10" t="e">
        <f>B934/(No_who_answered_survey-COUNTIFS(Table2[How comfortable is your centre? ],Condition_1,#REF!,"Not answered"))*100</f>
        <v>#REF!</v>
      </c>
    </row>
    <row r="935" spans="1:4">
      <c r="A935" s="5">
        <f>'Validation List'!BK13</f>
        <v>0</v>
      </c>
      <c r="B935" s="3" t="e">
        <f>COUNTIFS(Table2[How comfortable is your centre? ],Condition_1,#REF!,A935)</f>
        <v>#REF!</v>
      </c>
      <c r="C935" s="3" t="e">
        <f t="shared" si="146"/>
        <v>#REF!</v>
      </c>
      <c r="D935" s="10" t="e">
        <f>B935/(No_who_answered_survey-COUNTIFS(Table2[How comfortable is your centre? ],Condition_1,#REF!,"Not answered"))*100</f>
        <v>#REF!</v>
      </c>
    </row>
    <row r="936" spans="1:4">
      <c r="A936" s="5">
        <f>'Validation List'!BK14</f>
        <v>0</v>
      </c>
      <c r="B936" s="3" t="e">
        <f>COUNTIFS(Table2[How comfortable is your centre? ],Condition_1,#REF!,A936)</f>
        <v>#REF!</v>
      </c>
      <c r="C936" s="3" t="e">
        <f t="shared" si="146"/>
        <v>#REF!</v>
      </c>
      <c r="D936" s="10" t="e">
        <f>B936/(No_who_answered_survey-COUNTIFS(Table2[How comfortable is your centre? ],Condition_1,#REF!,"Not answered"))*100</f>
        <v>#REF!</v>
      </c>
    </row>
    <row r="937" spans="1:4">
      <c r="A937" s="5">
        <f>'Validation List'!BK15</f>
        <v>0</v>
      </c>
      <c r="B937" s="3" t="e">
        <f>COUNTIFS(Table2[How comfortable is your centre? ],Condition_1,#REF!,A937)</f>
        <v>#REF!</v>
      </c>
      <c r="C937" s="3" t="e">
        <f t="shared" si="145"/>
        <v>#REF!</v>
      </c>
      <c r="D937" s="10"/>
    </row>
    <row r="938" spans="1:4">
      <c r="A938" s="5" t="s">
        <v>39</v>
      </c>
      <c r="B938" s="3" t="e">
        <f>SUM(B928:B937)</f>
        <v>#REF!</v>
      </c>
      <c r="C938" s="3" t="e">
        <f t="shared" ref="C938:D938" si="147">SUM(C928:C937)</f>
        <v>#REF!</v>
      </c>
      <c r="D938" s="3" t="e">
        <f t="shared" si="147"/>
        <v>#REF!</v>
      </c>
    </row>
    <row r="939" spans="1:4">
      <c r="A939" s="2"/>
      <c r="B939" s="8"/>
      <c r="C939" s="8"/>
      <c r="D939" s="11"/>
    </row>
    <row r="940" spans="1:4">
      <c r="A940" s="2"/>
      <c r="B940" s="8"/>
      <c r="C940" s="8"/>
      <c r="D940" s="11"/>
    </row>
    <row r="941" spans="1:4">
      <c r="A941" s="2"/>
      <c r="B941" s="8"/>
      <c r="C941" s="8"/>
      <c r="D941" s="11"/>
    </row>
    <row r="944" spans="1:4">
      <c r="A944"/>
      <c r="D944"/>
    </row>
    <row r="945" spans="1:4">
      <c r="A945"/>
      <c r="D945"/>
    </row>
    <row r="946" spans="1:4">
      <c r="A946"/>
      <c r="D946"/>
    </row>
    <row r="947" spans="1:4">
      <c r="A947"/>
      <c r="D947"/>
    </row>
    <row r="948" spans="1:4">
      <c r="A948"/>
      <c r="D948"/>
    </row>
    <row r="949" spans="1:4">
      <c r="A949"/>
      <c r="D949"/>
    </row>
    <row r="950" spans="1:4">
      <c r="A950"/>
      <c r="D950"/>
    </row>
    <row r="951" spans="1:4">
      <c r="A951"/>
      <c r="D951"/>
    </row>
    <row r="952" spans="1:4">
      <c r="A952"/>
      <c r="D952"/>
    </row>
    <row r="953" spans="1:4">
      <c r="A953"/>
      <c r="D953"/>
    </row>
    <row r="954" spans="1:4">
      <c r="A954"/>
      <c r="D954"/>
    </row>
    <row r="955" spans="1:4">
      <c r="A955"/>
      <c r="D955"/>
    </row>
    <row r="956" spans="1:4">
      <c r="A956"/>
      <c r="D956"/>
    </row>
    <row r="957" spans="1:4">
      <c r="A957"/>
      <c r="D957"/>
    </row>
    <row r="958" spans="1:4">
      <c r="A958"/>
      <c r="D958"/>
    </row>
    <row r="959" spans="1:4">
      <c r="A959"/>
      <c r="D959"/>
    </row>
    <row r="960" spans="1:4">
      <c r="A960"/>
      <c r="D960"/>
    </row>
    <row r="961" spans="1:4">
      <c r="A961"/>
      <c r="D961"/>
    </row>
    <row r="962" spans="1:4">
      <c r="A962"/>
      <c r="D962"/>
    </row>
    <row r="963" spans="1:4">
      <c r="A963"/>
      <c r="D963"/>
    </row>
    <row r="964" spans="1:4">
      <c r="A964"/>
      <c r="D964"/>
    </row>
    <row r="965" spans="1:4">
      <c r="A965"/>
      <c r="D965"/>
    </row>
    <row r="966" spans="1:4">
      <c r="A966"/>
      <c r="D966"/>
    </row>
    <row r="967" spans="1:4">
      <c r="A967"/>
      <c r="D967"/>
    </row>
    <row r="968" spans="1:4">
      <c r="A968"/>
      <c r="D968"/>
    </row>
    <row r="969" spans="1:4">
      <c r="A969"/>
      <c r="D969"/>
    </row>
    <row r="970" spans="1:4">
      <c r="A970"/>
      <c r="D970"/>
    </row>
    <row r="971" spans="1:4">
      <c r="A971"/>
      <c r="D971"/>
    </row>
    <row r="972" spans="1:4">
      <c r="A972"/>
      <c r="D972"/>
    </row>
    <row r="973" spans="1:4">
      <c r="A973"/>
      <c r="D973"/>
    </row>
    <row r="974" spans="1:4">
      <c r="A974"/>
      <c r="D974"/>
    </row>
    <row r="975" spans="1:4">
      <c r="A975"/>
      <c r="D975"/>
    </row>
    <row r="976" spans="1:4">
      <c r="A976"/>
      <c r="D976"/>
    </row>
    <row r="977" spans="1:8">
      <c r="A977"/>
      <c r="D977"/>
    </row>
    <row r="978" spans="1:8">
      <c r="A978"/>
      <c r="D978"/>
    </row>
    <row r="979" spans="1:8">
      <c r="A979"/>
      <c r="D979"/>
    </row>
    <row r="980" spans="1:8">
      <c r="A980"/>
      <c r="D980"/>
    </row>
    <row r="981" spans="1:8">
      <c r="A981"/>
      <c r="D981"/>
    </row>
    <row r="982" spans="1:8">
      <c r="A982"/>
      <c r="D982"/>
    </row>
    <row r="983" spans="1:8">
      <c r="A983"/>
      <c r="D983"/>
    </row>
    <row r="984" spans="1:8">
      <c r="A984"/>
      <c r="D984"/>
    </row>
    <row r="985" spans="1:8">
      <c r="A985"/>
      <c r="D985"/>
    </row>
    <row r="986" spans="1:8">
      <c r="A986"/>
      <c r="D986"/>
    </row>
    <row r="987" spans="1:8">
      <c r="A987"/>
      <c r="D987"/>
    </row>
    <row r="988" spans="1:8">
      <c r="A988"/>
      <c r="D988"/>
    </row>
    <row r="989" spans="1:8">
      <c r="A989"/>
      <c r="D989"/>
    </row>
    <row r="990" spans="1:8">
      <c r="A990"/>
      <c r="D990"/>
    </row>
    <row r="991" spans="1:8">
      <c r="A991"/>
      <c r="D991"/>
    </row>
    <row r="992" spans="1:8">
      <c r="B992" s="1"/>
      <c r="C992" s="1"/>
      <c r="D992" s="1"/>
      <c r="E992" s="1"/>
      <c r="F992" s="1"/>
      <c r="G992" s="1"/>
      <c r="H992" s="1"/>
    </row>
    <row r="993" spans="1:4">
      <c r="A993"/>
      <c r="D993"/>
    </row>
    <row r="994" spans="1:4">
      <c r="A994"/>
      <c r="D994"/>
    </row>
    <row r="995" spans="1:4">
      <c r="A995"/>
      <c r="D995"/>
    </row>
    <row r="996" spans="1:4">
      <c r="A996"/>
      <c r="D996"/>
    </row>
    <row r="997" spans="1:4">
      <c r="A997"/>
      <c r="D997"/>
    </row>
    <row r="998" spans="1:4">
      <c r="A998"/>
      <c r="D998"/>
    </row>
    <row r="999" spans="1:4">
      <c r="A999"/>
      <c r="D999"/>
    </row>
    <row r="1000" spans="1:4">
      <c r="A1000"/>
      <c r="D1000"/>
    </row>
    <row r="1001" spans="1:4">
      <c r="A1001"/>
      <c r="D1001"/>
    </row>
    <row r="1002" spans="1:4">
      <c r="A1002"/>
      <c r="D1002"/>
    </row>
    <row r="1003" spans="1:4">
      <c r="A1003"/>
      <c r="D1003"/>
    </row>
    <row r="1004" spans="1:4">
      <c r="A1004"/>
      <c r="D1004"/>
    </row>
    <row r="1005" spans="1:4">
      <c r="A1005"/>
      <c r="D1005"/>
    </row>
    <row r="1006" spans="1:4">
      <c r="A1006"/>
      <c r="D1006"/>
    </row>
    <row r="1007" spans="1:4">
      <c r="A1007"/>
      <c r="D1007"/>
    </row>
    <row r="1008" spans="1:4">
      <c r="A1008"/>
      <c r="D1008"/>
    </row>
    <row r="1009" spans="1:4">
      <c r="A1009"/>
      <c r="D1009"/>
    </row>
    <row r="1010" spans="1:4">
      <c r="A1010"/>
      <c r="D1010"/>
    </row>
    <row r="1011" spans="1:4">
      <c r="A1011"/>
      <c r="D1011"/>
    </row>
    <row r="1012" spans="1:4">
      <c r="A1012"/>
      <c r="D1012"/>
    </row>
    <row r="1013" spans="1:4">
      <c r="A1013"/>
      <c r="D1013"/>
    </row>
    <row r="1014" spans="1:4">
      <c r="A1014"/>
      <c r="D1014"/>
    </row>
    <row r="1015" spans="1:4">
      <c r="A1015"/>
      <c r="D1015"/>
    </row>
    <row r="1016" spans="1:4">
      <c r="A1016"/>
      <c r="D1016"/>
    </row>
    <row r="1017" spans="1:4">
      <c r="A1017"/>
      <c r="D1017"/>
    </row>
    <row r="1018" spans="1:4">
      <c r="A1018"/>
      <c r="D1018"/>
    </row>
    <row r="1019" spans="1:4">
      <c r="A1019"/>
      <c r="D1019"/>
    </row>
    <row r="1020" spans="1:4">
      <c r="A1020"/>
      <c r="D1020"/>
    </row>
    <row r="1021" spans="1:4">
      <c r="A1021"/>
      <c r="D1021"/>
    </row>
    <row r="1022" spans="1:4">
      <c r="A1022"/>
      <c r="D1022"/>
    </row>
    <row r="1023" spans="1:4">
      <c r="A1023"/>
      <c r="D1023"/>
    </row>
    <row r="1024" spans="1:4">
      <c r="A1024"/>
      <c r="D1024"/>
    </row>
    <row r="1025" spans="1:4">
      <c r="A1025"/>
      <c r="D1025"/>
    </row>
    <row r="1026" spans="1:4">
      <c r="A1026"/>
      <c r="D1026"/>
    </row>
    <row r="1027" spans="1:4">
      <c r="A1027"/>
      <c r="D1027"/>
    </row>
    <row r="1028" spans="1:4">
      <c r="A1028"/>
      <c r="D1028"/>
    </row>
    <row r="1029" spans="1:4">
      <c r="A1029"/>
      <c r="D1029"/>
    </row>
    <row r="1030" spans="1:4">
      <c r="A1030"/>
      <c r="D1030"/>
    </row>
    <row r="1031" spans="1:4">
      <c r="A1031"/>
      <c r="D1031"/>
    </row>
    <row r="1032" spans="1:4">
      <c r="A1032"/>
      <c r="D1032"/>
    </row>
    <row r="1033" spans="1:4">
      <c r="A1033"/>
      <c r="D1033"/>
    </row>
    <row r="1034" spans="1:4">
      <c r="A1034"/>
      <c r="D1034"/>
    </row>
    <row r="1035" spans="1:4">
      <c r="A1035"/>
      <c r="D1035"/>
    </row>
    <row r="1036" spans="1:4">
      <c r="A1036"/>
      <c r="D1036"/>
    </row>
    <row r="1037" spans="1:4">
      <c r="A1037"/>
      <c r="D1037"/>
    </row>
    <row r="1038" spans="1:4">
      <c r="A1038"/>
      <c r="D1038"/>
    </row>
    <row r="1039" spans="1:4">
      <c r="A1039"/>
      <c r="D1039"/>
    </row>
    <row r="1040" spans="1:4">
      <c r="A1040"/>
      <c r="D1040"/>
    </row>
    <row r="1041" spans="1:4">
      <c r="A1041"/>
      <c r="D1041"/>
    </row>
    <row r="1042" spans="1:4">
      <c r="A1042"/>
      <c r="D1042"/>
    </row>
    <row r="1043" spans="1:4">
      <c r="A1043"/>
      <c r="D1043"/>
    </row>
    <row r="1044" spans="1:4">
      <c r="A1044"/>
      <c r="D1044"/>
    </row>
    <row r="1045" spans="1:4">
      <c r="A1045"/>
      <c r="D1045"/>
    </row>
    <row r="1046" spans="1:4">
      <c r="A1046"/>
      <c r="D1046"/>
    </row>
    <row r="1047" spans="1:4">
      <c r="A1047"/>
      <c r="D1047"/>
    </row>
    <row r="1048" spans="1:4">
      <c r="A1048"/>
      <c r="D1048"/>
    </row>
    <row r="1049" spans="1:4">
      <c r="A1049"/>
      <c r="D1049"/>
    </row>
    <row r="1050" spans="1:4">
      <c r="A1050"/>
      <c r="D1050"/>
    </row>
    <row r="1051" spans="1:4">
      <c r="A1051"/>
      <c r="D1051"/>
    </row>
    <row r="1052" spans="1:4">
      <c r="A1052"/>
      <c r="D1052"/>
    </row>
    <row r="1053" spans="1:4">
      <c r="A1053"/>
      <c r="D1053"/>
    </row>
    <row r="1054" spans="1:4">
      <c r="A1054"/>
      <c r="D1054"/>
    </row>
    <row r="1055" spans="1:4">
      <c r="A1055"/>
      <c r="D1055"/>
    </row>
    <row r="1056" spans="1:4">
      <c r="A1056"/>
      <c r="D1056"/>
    </row>
    <row r="1057" spans="1:4">
      <c r="A1057"/>
      <c r="D1057"/>
    </row>
    <row r="1058" spans="1:4">
      <c r="A1058"/>
      <c r="D1058"/>
    </row>
    <row r="1059" spans="1:4">
      <c r="A1059"/>
      <c r="D1059"/>
    </row>
    <row r="1060" spans="1:4">
      <c r="A1060"/>
      <c r="D1060"/>
    </row>
    <row r="1061" spans="1:4">
      <c r="A1061"/>
      <c r="D1061"/>
    </row>
    <row r="1062" spans="1:4">
      <c r="A1062"/>
      <c r="D1062"/>
    </row>
    <row r="1063" spans="1:4">
      <c r="A1063"/>
      <c r="D1063"/>
    </row>
    <row r="1064" spans="1:4">
      <c r="A1064"/>
      <c r="D1064"/>
    </row>
    <row r="1065" spans="1:4">
      <c r="A1065"/>
      <c r="D1065"/>
    </row>
    <row r="1066" spans="1:4">
      <c r="A1066"/>
      <c r="D1066"/>
    </row>
    <row r="1067" spans="1:4">
      <c r="A1067"/>
      <c r="D1067"/>
    </row>
    <row r="1068" spans="1:4">
      <c r="A1068"/>
      <c r="D1068"/>
    </row>
    <row r="1069" spans="1:4">
      <c r="A1069"/>
      <c r="D1069"/>
    </row>
    <row r="1070" spans="1:4">
      <c r="A1070"/>
      <c r="D1070"/>
    </row>
    <row r="1071" spans="1:4">
      <c r="A1071"/>
      <c r="D1071"/>
    </row>
    <row r="1072" spans="1:4">
      <c r="A1072"/>
      <c r="D1072"/>
    </row>
    <row r="1073" spans="1:4">
      <c r="A1073"/>
      <c r="D1073"/>
    </row>
    <row r="1074" spans="1:4">
      <c r="A1074"/>
      <c r="D1074"/>
    </row>
    <row r="1075" spans="1:4">
      <c r="A1075"/>
      <c r="D1075"/>
    </row>
    <row r="1076" spans="1:4">
      <c r="A1076"/>
      <c r="D1076"/>
    </row>
    <row r="1077" spans="1:4">
      <c r="A1077"/>
      <c r="D1077"/>
    </row>
    <row r="1078" spans="1:4">
      <c r="A1078"/>
      <c r="D1078"/>
    </row>
    <row r="1079" spans="1:4">
      <c r="A1079"/>
      <c r="D1079"/>
    </row>
    <row r="1080" spans="1:4">
      <c r="A1080"/>
      <c r="D1080"/>
    </row>
    <row r="1081" spans="1:4">
      <c r="A1081"/>
      <c r="D1081"/>
    </row>
    <row r="1082" spans="1:4">
      <c r="A1082"/>
      <c r="D1082"/>
    </row>
    <row r="1083" spans="1:4">
      <c r="A1083"/>
      <c r="D1083"/>
    </row>
    <row r="1084" spans="1:4">
      <c r="A1084"/>
      <c r="D1084"/>
    </row>
    <row r="1085" spans="1:4">
      <c r="A1085"/>
      <c r="D1085"/>
    </row>
    <row r="1086" spans="1:4">
      <c r="A1086"/>
      <c r="D1086"/>
    </row>
    <row r="1087" spans="1:4">
      <c r="A1087"/>
      <c r="D1087"/>
    </row>
    <row r="1088" spans="1:4">
      <c r="A1088"/>
      <c r="D1088"/>
    </row>
    <row r="1089" spans="1:4">
      <c r="A1089"/>
      <c r="D1089"/>
    </row>
    <row r="1090" spans="1:4">
      <c r="A1090"/>
      <c r="D1090"/>
    </row>
    <row r="1091" spans="1:4">
      <c r="A1091"/>
      <c r="D1091"/>
    </row>
    <row r="1092" spans="1:4">
      <c r="A1092"/>
      <c r="D1092"/>
    </row>
    <row r="1093" spans="1:4">
      <c r="A1093"/>
      <c r="D1093"/>
    </row>
    <row r="1094" spans="1:4">
      <c r="A1094"/>
      <c r="D1094"/>
    </row>
    <row r="1095" spans="1:4">
      <c r="A1095"/>
      <c r="D1095"/>
    </row>
    <row r="1096" spans="1:4">
      <c r="A1096"/>
      <c r="D1096"/>
    </row>
    <row r="1097" spans="1:4">
      <c r="A1097"/>
      <c r="D1097"/>
    </row>
    <row r="1098" spans="1:4">
      <c r="A1098"/>
      <c r="D1098"/>
    </row>
    <row r="1099" spans="1:4">
      <c r="A1099"/>
      <c r="D1099"/>
    </row>
    <row r="1100" spans="1:4">
      <c r="A1100"/>
      <c r="D1100"/>
    </row>
    <row r="1101" spans="1:4">
      <c r="A1101"/>
      <c r="D1101"/>
    </row>
    <row r="1102" spans="1:4">
      <c r="A1102"/>
      <c r="D1102"/>
    </row>
    <row r="1103" spans="1:4">
      <c r="A1103"/>
      <c r="D1103"/>
    </row>
    <row r="1104" spans="1:4">
      <c r="A1104"/>
      <c r="D1104"/>
    </row>
    <row r="1105" spans="1:4">
      <c r="A1105"/>
      <c r="D1105"/>
    </row>
    <row r="1106" spans="1:4">
      <c r="A1106"/>
      <c r="D1106"/>
    </row>
    <row r="1107" spans="1:4">
      <c r="A1107"/>
      <c r="D1107"/>
    </row>
    <row r="1108" spans="1:4">
      <c r="A1108"/>
      <c r="D1108"/>
    </row>
    <row r="1109" spans="1:4">
      <c r="A1109"/>
      <c r="D1109"/>
    </row>
    <row r="1110" spans="1:4">
      <c r="A1110"/>
      <c r="D1110"/>
    </row>
    <row r="1111" spans="1:4">
      <c r="A1111"/>
      <c r="D1111"/>
    </row>
    <row r="1112" spans="1:4">
      <c r="A1112"/>
      <c r="D1112"/>
    </row>
    <row r="1113" spans="1:4">
      <c r="A1113"/>
      <c r="D1113"/>
    </row>
    <row r="1114" spans="1:4">
      <c r="A1114"/>
      <c r="D1114"/>
    </row>
    <row r="1115" spans="1:4">
      <c r="A1115"/>
      <c r="D1115"/>
    </row>
    <row r="1116" spans="1:4">
      <c r="A1116"/>
      <c r="D1116"/>
    </row>
    <row r="1117" spans="1:4">
      <c r="A1117"/>
      <c r="D1117"/>
    </row>
    <row r="1118" spans="1:4">
      <c r="A1118"/>
      <c r="D1118"/>
    </row>
    <row r="1119" spans="1:4">
      <c r="A1119"/>
      <c r="D1119"/>
    </row>
    <row r="1120" spans="1:4">
      <c r="A1120"/>
      <c r="D1120"/>
    </row>
    <row r="1121" spans="1:4">
      <c r="A1121"/>
      <c r="D1121"/>
    </row>
    <row r="1122" spans="1:4">
      <c r="A1122"/>
      <c r="D1122"/>
    </row>
    <row r="1123" spans="1:4">
      <c r="A1123"/>
      <c r="D1123"/>
    </row>
    <row r="1124" spans="1:4">
      <c r="A1124"/>
      <c r="D1124"/>
    </row>
    <row r="1125" spans="1:4">
      <c r="A1125"/>
      <c r="D1125"/>
    </row>
    <row r="1126" spans="1:4">
      <c r="A1126"/>
      <c r="D1126"/>
    </row>
    <row r="1127" spans="1:4">
      <c r="A1127"/>
      <c r="D1127"/>
    </row>
    <row r="1128" spans="1:4">
      <c r="A1128"/>
      <c r="D1128"/>
    </row>
    <row r="1129" spans="1:4">
      <c r="A1129"/>
      <c r="D1129"/>
    </row>
    <row r="1130" spans="1:4">
      <c r="A1130"/>
      <c r="D1130"/>
    </row>
    <row r="1131" spans="1:4">
      <c r="A1131"/>
      <c r="D1131"/>
    </row>
    <row r="1132" spans="1:4">
      <c r="A1132"/>
      <c r="D1132"/>
    </row>
    <row r="1133" spans="1:4">
      <c r="A1133"/>
      <c r="D1133"/>
    </row>
    <row r="1134" spans="1:4">
      <c r="A1134"/>
      <c r="D1134"/>
    </row>
    <row r="1135" spans="1:4">
      <c r="A1135"/>
      <c r="D1135"/>
    </row>
    <row r="1136" spans="1:4">
      <c r="A1136"/>
      <c r="D1136"/>
    </row>
    <row r="1137" spans="1:4">
      <c r="A1137"/>
      <c r="D1137"/>
    </row>
    <row r="1138" spans="1:4">
      <c r="A1138"/>
      <c r="D1138"/>
    </row>
    <row r="1139" spans="1:4">
      <c r="A1139"/>
      <c r="D1139"/>
    </row>
    <row r="1140" spans="1:4">
      <c r="A1140"/>
      <c r="D1140"/>
    </row>
    <row r="1141" spans="1:4">
      <c r="A1141"/>
      <c r="D1141"/>
    </row>
    <row r="1142" spans="1:4">
      <c r="A1142"/>
      <c r="D1142"/>
    </row>
    <row r="1143" spans="1:4">
      <c r="A1143"/>
      <c r="D1143"/>
    </row>
    <row r="1144" spans="1:4">
      <c r="A1144"/>
      <c r="D1144"/>
    </row>
    <row r="1145" spans="1:4">
      <c r="A1145"/>
      <c r="D1145"/>
    </row>
    <row r="1146" spans="1:4">
      <c r="A1146"/>
      <c r="D1146"/>
    </row>
    <row r="1147" spans="1:4">
      <c r="A1147"/>
      <c r="D1147"/>
    </row>
    <row r="1148" spans="1:4">
      <c r="A1148"/>
      <c r="D1148"/>
    </row>
    <row r="1149" spans="1:4">
      <c r="A1149"/>
      <c r="D1149"/>
    </row>
    <row r="1150" spans="1:4">
      <c r="A1150"/>
      <c r="D1150"/>
    </row>
    <row r="1151" spans="1:4">
      <c r="A1151"/>
      <c r="D1151"/>
    </row>
    <row r="1152" spans="1:4">
      <c r="A1152"/>
      <c r="D1152"/>
    </row>
    <row r="1153" spans="1:4">
      <c r="A1153"/>
      <c r="D1153"/>
    </row>
    <row r="1154" spans="1:4">
      <c r="A1154"/>
      <c r="D1154"/>
    </row>
    <row r="1155" spans="1:4">
      <c r="A1155"/>
      <c r="D1155"/>
    </row>
    <row r="1156" spans="1:4">
      <c r="A1156"/>
      <c r="D1156"/>
    </row>
    <row r="1157" spans="1:4">
      <c r="A1157"/>
      <c r="D1157"/>
    </row>
    <row r="1158" spans="1:4">
      <c r="A1158"/>
      <c r="D1158"/>
    </row>
    <row r="1159" spans="1:4">
      <c r="A1159"/>
      <c r="D1159"/>
    </row>
    <row r="1160" spans="1:4">
      <c r="A1160"/>
      <c r="D1160"/>
    </row>
    <row r="1161" spans="1:4">
      <c r="A1161"/>
      <c r="D1161"/>
    </row>
    <row r="1162" spans="1:4">
      <c r="A1162"/>
      <c r="D1162"/>
    </row>
    <row r="1163" spans="1:4">
      <c r="A1163"/>
      <c r="D1163"/>
    </row>
    <row r="1164" spans="1:4">
      <c r="A1164"/>
      <c r="D1164"/>
    </row>
    <row r="1165" spans="1:4">
      <c r="A1165"/>
      <c r="D1165"/>
    </row>
    <row r="1166" spans="1:4">
      <c r="A1166"/>
      <c r="D1166"/>
    </row>
    <row r="1167" spans="1:4">
      <c r="A1167"/>
      <c r="D1167"/>
    </row>
    <row r="1168" spans="1:4">
      <c r="A1168"/>
      <c r="D1168"/>
    </row>
    <row r="1169" spans="1:4">
      <c r="A1169"/>
      <c r="D1169"/>
    </row>
    <row r="1170" spans="1:4">
      <c r="A1170"/>
      <c r="D1170"/>
    </row>
    <row r="1171" spans="1:4">
      <c r="A1171"/>
      <c r="D1171"/>
    </row>
    <row r="1172" spans="1:4">
      <c r="A1172"/>
      <c r="D1172"/>
    </row>
    <row r="1173" spans="1:4">
      <c r="A1173"/>
      <c r="D1173"/>
    </row>
    <row r="1174" spans="1:4">
      <c r="A1174"/>
      <c r="D1174"/>
    </row>
    <row r="1175" spans="1:4">
      <c r="A1175"/>
      <c r="D1175"/>
    </row>
    <row r="1176" spans="1:4">
      <c r="A1176"/>
      <c r="D1176"/>
    </row>
    <row r="1177" spans="1:4">
      <c r="A1177"/>
      <c r="D1177"/>
    </row>
    <row r="1178" spans="1:4">
      <c r="A1178"/>
      <c r="D1178"/>
    </row>
    <row r="1179" spans="1:4">
      <c r="A1179"/>
      <c r="D1179"/>
    </row>
    <row r="1180" spans="1:4">
      <c r="A1180"/>
      <c r="D1180"/>
    </row>
    <row r="1181" spans="1:4">
      <c r="A1181"/>
      <c r="D1181"/>
    </row>
    <row r="1182" spans="1:4">
      <c r="A1182"/>
      <c r="D1182"/>
    </row>
    <row r="1183" spans="1:4">
      <c r="A1183"/>
      <c r="D1183"/>
    </row>
    <row r="1184" spans="1:4">
      <c r="A1184"/>
      <c r="D1184"/>
    </row>
    <row r="1185" spans="1:4">
      <c r="A1185"/>
      <c r="D1185"/>
    </row>
    <row r="1186" spans="1:4">
      <c r="A1186"/>
      <c r="D1186"/>
    </row>
    <row r="1187" spans="1:4">
      <c r="A1187"/>
      <c r="D1187"/>
    </row>
    <row r="1188" spans="1:4">
      <c r="A1188"/>
      <c r="D1188"/>
    </row>
    <row r="1189" spans="1:4">
      <c r="A1189"/>
      <c r="D1189"/>
    </row>
    <row r="1190" spans="1:4">
      <c r="A1190"/>
      <c r="D1190"/>
    </row>
    <row r="1191" spans="1:4">
      <c r="A1191"/>
      <c r="D1191"/>
    </row>
    <row r="1192" spans="1:4">
      <c r="A1192"/>
      <c r="D1192"/>
    </row>
    <row r="1193" spans="1:4">
      <c r="A1193"/>
      <c r="D1193"/>
    </row>
    <row r="1194" spans="1:4">
      <c r="A1194"/>
      <c r="D1194"/>
    </row>
    <row r="1195" spans="1:4">
      <c r="A1195"/>
      <c r="D1195"/>
    </row>
    <row r="1196" spans="1:4">
      <c r="A1196"/>
      <c r="D1196"/>
    </row>
    <row r="1197" spans="1:4">
      <c r="A1197"/>
      <c r="D1197"/>
    </row>
    <row r="1198" spans="1:4">
      <c r="A1198"/>
      <c r="D1198"/>
    </row>
    <row r="1199" spans="1:4">
      <c r="A1199"/>
      <c r="D1199"/>
    </row>
    <row r="1200" spans="1:4">
      <c r="A1200"/>
      <c r="D1200"/>
    </row>
    <row r="1201" spans="1:4">
      <c r="A1201"/>
      <c r="D1201"/>
    </row>
    <row r="1202" spans="1:4">
      <c r="A1202"/>
      <c r="D1202"/>
    </row>
    <row r="1203" spans="1:4">
      <c r="A1203"/>
      <c r="D1203"/>
    </row>
    <row r="1204" spans="1:4">
      <c r="A1204"/>
      <c r="D1204"/>
    </row>
    <row r="1205" spans="1:4">
      <c r="A1205"/>
      <c r="D1205"/>
    </row>
    <row r="1206" spans="1:4">
      <c r="A1206"/>
      <c r="D1206"/>
    </row>
    <row r="1207" spans="1:4">
      <c r="A1207"/>
      <c r="D1207"/>
    </row>
    <row r="1208" spans="1:4">
      <c r="A1208"/>
      <c r="D1208"/>
    </row>
    <row r="1209" spans="1:4">
      <c r="A1209"/>
      <c r="D1209"/>
    </row>
    <row r="1210" spans="1:4">
      <c r="A1210"/>
      <c r="D1210"/>
    </row>
    <row r="1211" spans="1:4">
      <c r="A1211"/>
      <c r="D1211"/>
    </row>
    <row r="1212" spans="1:4">
      <c r="A1212"/>
      <c r="D1212"/>
    </row>
    <row r="1213" spans="1:4">
      <c r="A1213"/>
      <c r="D1213"/>
    </row>
    <row r="1214" spans="1:4">
      <c r="A1214"/>
      <c r="D1214"/>
    </row>
    <row r="1215" spans="1:4">
      <c r="A1215"/>
      <c r="D1215"/>
    </row>
    <row r="1216" spans="1:4">
      <c r="A1216"/>
      <c r="D1216"/>
    </row>
    <row r="1217" spans="1:4">
      <c r="A1217"/>
      <c r="D1217"/>
    </row>
    <row r="1218" spans="1:4">
      <c r="A1218"/>
      <c r="D1218"/>
    </row>
    <row r="1219" spans="1:4">
      <c r="A1219"/>
      <c r="D1219"/>
    </row>
    <row r="1220" spans="1:4">
      <c r="A1220"/>
      <c r="D1220"/>
    </row>
    <row r="1221" spans="1:4">
      <c r="A1221"/>
      <c r="D1221"/>
    </row>
    <row r="1222" spans="1:4">
      <c r="A1222"/>
      <c r="D1222"/>
    </row>
    <row r="1223" spans="1:4">
      <c r="A1223"/>
      <c r="D1223"/>
    </row>
    <row r="1224" spans="1:4">
      <c r="A1224"/>
      <c r="D1224"/>
    </row>
    <row r="1225" spans="1:4">
      <c r="A1225"/>
      <c r="D1225"/>
    </row>
    <row r="1226" spans="1:4">
      <c r="A1226"/>
      <c r="D1226"/>
    </row>
    <row r="1227" spans="1:4">
      <c r="A1227"/>
      <c r="D1227"/>
    </row>
    <row r="1228" spans="1:4">
      <c r="A1228"/>
      <c r="D1228"/>
    </row>
    <row r="1229" spans="1:4">
      <c r="A1229"/>
      <c r="D1229"/>
    </row>
    <row r="1230" spans="1:4">
      <c r="A1230"/>
      <c r="D1230"/>
    </row>
    <row r="1231" spans="1:4">
      <c r="A1231"/>
      <c r="D1231"/>
    </row>
    <row r="1232" spans="1:4">
      <c r="A1232"/>
      <c r="D1232"/>
    </row>
    <row r="1233" spans="1:4">
      <c r="A1233"/>
      <c r="D1233"/>
    </row>
    <row r="1234" spans="1:4">
      <c r="A1234"/>
      <c r="D1234"/>
    </row>
    <row r="1235" spans="1:4">
      <c r="A1235"/>
      <c r="D1235"/>
    </row>
    <row r="1236" spans="1:4">
      <c r="A1236"/>
      <c r="D1236"/>
    </row>
    <row r="1237" spans="1:4">
      <c r="A1237"/>
      <c r="D1237"/>
    </row>
    <row r="1238" spans="1:4">
      <c r="A1238"/>
      <c r="D1238"/>
    </row>
    <row r="1239" spans="1:4">
      <c r="A1239"/>
      <c r="D1239"/>
    </row>
    <row r="1240" spans="1:4">
      <c r="A1240"/>
      <c r="D1240"/>
    </row>
    <row r="1241" spans="1:4">
      <c r="A1241"/>
      <c r="D1241"/>
    </row>
    <row r="1242" spans="1:4">
      <c r="A1242"/>
      <c r="D1242"/>
    </row>
    <row r="1243" spans="1:4">
      <c r="A1243"/>
      <c r="D1243"/>
    </row>
    <row r="1244" spans="1:4">
      <c r="A1244"/>
      <c r="D1244"/>
    </row>
    <row r="1245" spans="1:4">
      <c r="A1245"/>
      <c r="D1245"/>
    </row>
    <row r="1246" spans="1:4">
      <c r="A1246"/>
      <c r="D1246"/>
    </row>
    <row r="1247" spans="1:4">
      <c r="A1247"/>
      <c r="D1247"/>
    </row>
    <row r="1248" spans="1:4">
      <c r="A1248"/>
      <c r="D1248"/>
    </row>
    <row r="1249" spans="1:4">
      <c r="A1249"/>
      <c r="D1249"/>
    </row>
    <row r="1250" spans="1:4">
      <c r="A1250"/>
      <c r="D1250"/>
    </row>
    <row r="1251" spans="1:4">
      <c r="A1251"/>
      <c r="D1251"/>
    </row>
    <row r="1252" spans="1:4">
      <c r="A1252"/>
      <c r="D1252"/>
    </row>
    <row r="1253" spans="1:4">
      <c r="A1253"/>
      <c r="D1253"/>
    </row>
    <row r="1254" spans="1:4">
      <c r="A1254"/>
      <c r="D1254"/>
    </row>
    <row r="1255" spans="1:4">
      <c r="A1255"/>
      <c r="D1255"/>
    </row>
    <row r="1256" spans="1:4">
      <c r="A1256"/>
      <c r="D1256"/>
    </row>
    <row r="1257" spans="1:4">
      <c r="A1257"/>
      <c r="D1257"/>
    </row>
    <row r="1258" spans="1:4">
      <c r="A1258"/>
      <c r="D1258"/>
    </row>
    <row r="1259" spans="1:4">
      <c r="A1259"/>
      <c r="D1259"/>
    </row>
    <row r="1260" spans="1:4">
      <c r="A1260"/>
      <c r="D1260"/>
    </row>
    <row r="1261" spans="1:4">
      <c r="A1261"/>
      <c r="D1261"/>
    </row>
    <row r="1262" spans="1:4">
      <c r="A1262"/>
      <c r="D1262"/>
    </row>
    <row r="1263" spans="1:4">
      <c r="A1263"/>
      <c r="D1263"/>
    </row>
    <row r="1264" spans="1:4">
      <c r="A1264"/>
      <c r="D1264"/>
    </row>
    <row r="1265" spans="1:4">
      <c r="A1265"/>
      <c r="D1265"/>
    </row>
    <row r="1266" spans="1:4">
      <c r="A1266"/>
      <c r="D1266"/>
    </row>
    <row r="1267" spans="1:4">
      <c r="A1267"/>
      <c r="D1267"/>
    </row>
    <row r="1268" spans="1:4">
      <c r="A1268"/>
      <c r="D1268"/>
    </row>
    <row r="1269" spans="1:4">
      <c r="A1269"/>
      <c r="D1269"/>
    </row>
    <row r="1270" spans="1:4">
      <c r="A1270"/>
      <c r="D1270"/>
    </row>
    <row r="1271" spans="1:4">
      <c r="A1271"/>
      <c r="D1271"/>
    </row>
    <row r="1272" spans="1:4">
      <c r="A1272"/>
      <c r="D1272"/>
    </row>
    <row r="1273" spans="1:4">
      <c r="A1273"/>
      <c r="D1273"/>
    </row>
    <row r="1274" spans="1:4">
      <c r="A1274"/>
      <c r="D1274"/>
    </row>
    <row r="1275" spans="1:4">
      <c r="A1275"/>
      <c r="D1275"/>
    </row>
    <row r="1276" spans="1:4">
      <c r="A1276"/>
      <c r="D1276"/>
    </row>
    <row r="1277" spans="1:4">
      <c r="A1277"/>
      <c r="D1277"/>
    </row>
    <row r="1278" spans="1:4">
      <c r="A1278"/>
      <c r="D1278"/>
    </row>
    <row r="1279" spans="1:4">
      <c r="A1279"/>
      <c r="D1279"/>
    </row>
    <row r="1280" spans="1:4">
      <c r="A1280"/>
      <c r="D1280"/>
    </row>
    <row r="1281" spans="1:4">
      <c r="A1281"/>
      <c r="D1281"/>
    </row>
    <row r="1282" spans="1:4">
      <c r="A1282"/>
      <c r="D1282"/>
    </row>
    <row r="1283" spans="1:4">
      <c r="A1283"/>
      <c r="D1283"/>
    </row>
    <row r="1284" spans="1:4">
      <c r="A1284"/>
      <c r="D1284"/>
    </row>
    <row r="1285" spans="1:4">
      <c r="A1285"/>
      <c r="D1285"/>
    </row>
    <row r="1286" spans="1:4">
      <c r="A1286"/>
      <c r="D1286"/>
    </row>
    <row r="1287" spans="1:4">
      <c r="A1287"/>
      <c r="D1287"/>
    </row>
    <row r="1288" spans="1:4">
      <c r="A1288"/>
      <c r="D1288"/>
    </row>
    <row r="1289" spans="1:4">
      <c r="A1289"/>
      <c r="D1289"/>
    </row>
    <row r="1290" spans="1:4">
      <c r="A1290"/>
      <c r="D1290"/>
    </row>
    <row r="1291" spans="1:4">
      <c r="A1291"/>
      <c r="D1291"/>
    </row>
    <row r="1292" spans="1:4">
      <c r="A1292"/>
      <c r="D1292"/>
    </row>
    <row r="1293" spans="1:4">
      <c r="A1293"/>
      <c r="D1293"/>
    </row>
    <row r="1294" spans="1:4">
      <c r="A1294"/>
      <c r="D1294"/>
    </row>
    <row r="1295" spans="1:4">
      <c r="A1295"/>
      <c r="D1295"/>
    </row>
    <row r="1296" spans="1:4">
      <c r="A1296"/>
      <c r="D1296"/>
    </row>
    <row r="1297" spans="1:4">
      <c r="A1297"/>
      <c r="D1297"/>
    </row>
    <row r="1298" spans="1:4">
      <c r="A1298"/>
      <c r="D1298"/>
    </row>
    <row r="1299" spans="1:4">
      <c r="A1299"/>
      <c r="D1299"/>
    </row>
    <row r="1300" spans="1:4">
      <c r="A1300"/>
      <c r="D1300"/>
    </row>
    <row r="1301" spans="1:4">
      <c r="A1301"/>
      <c r="D1301"/>
    </row>
    <row r="1302" spans="1:4">
      <c r="A1302"/>
      <c r="D1302"/>
    </row>
    <row r="1303" spans="1:4">
      <c r="A1303"/>
      <c r="D1303"/>
    </row>
    <row r="1304" spans="1:4">
      <c r="A1304"/>
      <c r="D1304"/>
    </row>
    <row r="1305" spans="1:4">
      <c r="A1305"/>
      <c r="D1305"/>
    </row>
    <row r="1306" spans="1:4">
      <c r="A1306"/>
      <c r="D1306"/>
    </row>
    <row r="1307" spans="1:4">
      <c r="A1307"/>
      <c r="D1307"/>
    </row>
    <row r="1308" spans="1:4">
      <c r="A1308"/>
      <c r="D1308"/>
    </row>
    <row r="1309" spans="1:4">
      <c r="A1309"/>
      <c r="D1309"/>
    </row>
    <row r="1310" spans="1:4">
      <c r="A1310"/>
      <c r="D1310"/>
    </row>
    <row r="1311" spans="1:4">
      <c r="A1311"/>
      <c r="D1311"/>
    </row>
    <row r="1312" spans="1:4">
      <c r="A1312"/>
      <c r="D1312"/>
    </row>
    <row r="1313" spans="1:4">
      <c r="A1313"/>
      <c r="D1313"/>
    </row>
    <row r="1314" spans="1:4">
      <c r="A1314"/>
      <c r="D1314"/>
    </row>
    <row r="1315" spans="1:4">
      <c r="A1315"/>
      <c r="D1315"/>
    </row>
    <row r="1316" spans="1:4">
      <c r="A1316"/>
      <c r="D1316"/>
    </row>
    <row r="1317" spans="1:4">
      <c r="A1317"/>
      <c r="D1317"/>
    </row>
    <row r="1318" spans="1:4">
      <c r="A1318"/>
      <c r="D1318"/>
    </row>
    <row r="1319" spans="1:4">
      <c r="A1319"/>
      <c r="D1319"/>
    </row>
    <row r="1320" spans="1:4">
      <c r="A1320"/>
      <c r="D1320"/>
    </row>
    <row r="1321" spans="1:4">
      <c r="A1321"/>
      <c r="D1321"/>
    </row>
    <row r="1322" spans="1:4">
      <c r="A1322"/>
      <c r="D1322"/>
    </row>
    <row r="1323" spans="1:4">
      <c r="A1323"/>
      <c r="D1323"/>
    </row>
    <row r="1324" spans="1:4">
      <c r="A1324"/>
      <c r="D1324"/>
    </row>
    <row r="1325" spans="1:4">
      <c r="A1325"/>
      <c r="D1325"/>
    </row>
    <row r="1326" spans="1:4">
      <c r="A1326"/>
      <c r="D1326"/>
    </row>
    <row r="1327" spans="1:4">
      <c r="A1327"/>
      <c r="D1327"/>
    </row>
    <row r="1328" spans="1:4">
      <c r="A1328"/>
      <c r="D1328"/>
    </row>
    <row r="1329" spans="1:4">
      <c r="A1329"/>
      <c r="D1329"/>
    </row>
    <row r="1330" spans="1:4">
      <c r="A1330"/>
      <c r="D1330"/>
    </row>
    <row r="1331" spans="1:4">
      <c r="A1331"/>
      <c r="D1331"/>
    </row>
    <row r="1332" spans="1:4">
      <c r="A1332"/>
      <c r="D1332"/>
    </row>
    <row r="1333" spans="1:4">
      <c r="A1333"/>
      <c r="D1333"/>
    </row>
    <row r="1334" spans="1:4">
      <c r="A1334"/>
      <c r="D1334"/>
    </row>
    <row r="1335" spans="1:4">
      <c r="A1335"/>
      <c r="D1335"/>
    </row>
    <row r="1336" spans="1:4">
      <c r="A1336"/>
      <c r="D1336"/>
    </row>
    <row r="1337" spans="1:4">
      <c r="A1337"/>
      <c r="D1337"/>
    </row>
    <row r="1338" spans="1:4">
      <c r="A1338"/>
      <c r="D1338"/>
    </row>
    <row r="1339" spans="1:4">
      <c r="A1339"/>
      <c r="D1339"/>
    </row>
    <row r="1340" spans="1:4">
      <c r="A1340"/>
      <c r="D1340"/>
    </row>
    <row r="1341" spans="1:4">
      <c r="A1341"/>
      <c r="D1341"/>
    </row>
    <row r="1342" spans="1:4">
      <c r="A1342"/>
      <c r="D1342"/>
    </row>
    <row r="1343" spans="1:4">
      <c r="A1343"/>
      <c r="D1343"/>
    </row>
    <row r="1344" spans="1:4">
      <c r="A1344"/>
      <c r="D1344"/>
    </row>
    <row r="1345" spans="1:4">
      <c r="A1345"/>
      <c r="D1345"/>
    </row>
    <row r="1346" spans="1:4">
      <c r="A1346"/>
      <c r="D1346"/>
    </row>
    <row r="1347" spans="1:4">
      <c r="A1347"/>
      <c r="D1347"/>
    </row>
    <row r="1348" spans="1:4">
      <c r="A1348"/>
      <c r="D1348"/>
    </row>
    <row r="1349" spans="1:4">
      <c r="A1349"/>
      <c r="D1349"/>
    </row>
    <row r="1350" spans="1:4">
      <c r="A1350"/>
      <c r="D1350"/>
    </row>
    <row r="1351" spans="1:4">
      <c r="A1351"/>
      <c r="D1351"/>
    </row>
    <row r="1352" spans="1:4">
      <c r="A1352"/>
      <c r="D1352"/>
    </row>
    <row r="1353" spans="1:4">
      <c r="A1353"/>
      <c r="D1353"/>
    </row>
    <row r="1354" spans="1:4">
      <c r="A1354"/>
      <c r="D1354"/>
    </row>
    <row r="1355" spans="1:4">
      <c r="A1355"/>
      <c r="D1355"/>
    </row>
    <row r="1356" spans="1:4">
      <c r="A1356"/>
      <c r="D1356"/>
    </row>
    <row r="1357" spans="1:4">
      <c r="A1357"/>
      <c r="D1357"/>
    </row>
    <row r="1358" spans="1:4">
      <c r="A1358"/>
      <c r="D1358"/>
    </row>
    <row r="1359" spans="1:4">
      <c r="A1359"/>
      <c r="D1359"/>
    </row>
    <row r="1360" spans="1:4">
      <c r="A1360"/>
      <c r="D1360"/>
    </row>
    <row r="1361" spans="1:4">
      <c r="A1361"/>
      <c r="D1361"/>
    </row>
    <row r="1362" spans="1:4">
      <c r="A1362"/>
      <c r="D1362"/>
    </row>
    <row r="1363" spans="1:4">
      <c r="A1363"/>
      <c r="D1363"/>
    </row>
    <row r="1364" spans="1:4">
      <c r="A1364"/>
      <c r="D1364"/>
    </row>
    <row r="1365" spans="1:4">
      <c r="A1365"/>
      <c r="D1365"/>
    </row>
    <row r="1366" spans="1:4">
      <c r="A1366"/>
      <c r="D1366"/>
    </row>
    <row r="1367" spans="1:4">
      <c r="A1367"/>
      <c r="D1367"/>
    </row>
    <row r="1368" spans="1:4">
      <c r="A1368"/>
      <c r="D1368"/>
    </row>
    <row r="1369" spans="1:4">
      <c r="A1369"/>
      <c r="D1369"/>
    </row>
    <row r="1370" spans="1:4">
      <c r="A1370"/>
      <c r="D1370"/>
    </row>
    <row r="1371" spans="1:4">
      <c r="A1371"/>
      <c r="D1371"/>
    </row>
    <row r="1372" spans="1:4">
      <c r="A1372"/>
      <c r="D1372"/>
    </row>
    <row r="1373" spans="1:4">
      <c r="A1373"/>
      <c r="D1373"/>
    </row>
    <row r="1374" spans="1:4">
      <c r="A1374"/>
      <c r="D1374"/>
    </row>
    <row r="1375" spans="1:4">
      <c r="A1375"/>
      <c r="D1375"/>
    </row>
    <row r="1376" spans="1:4">
      <c r="A1376"/>
      <c r="D1376"/>
    </row>
    <row r="1377" spans="1:4">
      <c r="A1377"/>
      <c r="D1377"/>
    </row>
    <row r="1378" spans="1:4">
      <c r="A1378"/>
      <c r="D1378"/>
    </row>
    <row r="1379" spans="1:4">
      <c r="A1379"/>
      <c r="D1379"/>
    </row>
    <row r="1380" spans="1:4">
      <c r="A1380"/>
      <c r="D1380"/>
    </row>
    <row r="1381" spans="1:4">
      <c r="A1381"/>
      <c r="D1381"/>
    </row>
    <row r="1382" spans="1:4">
      <c r="A1382"/>
      <c r="D1382"/>
    </row>
    <row r="1383" spans="1:4">
      <c r="A1383"/>
      <c r="D1383"/>
    </row>
    <row r="1384" spans="1:4">
      <c r="A1384"/>
      <c r="D1384"/>
    </row>
    <row r="1385" spans="1:4">
      <c r="A1385"/>
      <c r="D1385"/>
    </row>
    <row r="1386" spans="1:4">
      <c r="A1386"/>
      <c r="D1386"/>
    </row>
    <row r="1387" spans="1:4">
      <c r="A1387"/>
      <c r="D1387"/>
    </row>
    <row r="1388" spans="1:4">
      <c r="A1388"/>
      <c r="D1388"/>
    </row>
    <row r="1389" spans="1:4">
      <c r="A1389"/>
      <c r="D1389"/>
    </row>
    <row r="1390" spans="1:4">
      <c r="A1390"/>
      <c r="D1390"/>
    </row>
    <row r="1391" spans="1:4">
      <c r="A1391"/>
      <c r="D1391"/>
    </row>
    <row r="1392" spans="1:4">
      <c r="A1392"/>
      <c r="D1392"/>
    </row>
    <row r="1393" spans="1:4">
      <c r="A1393"/>
      <c r="D1393"/>
    </row>
    <row r="1394" spans="1:4">
      <c r="A1394"/>
      <c r="D1394"/>
    </row>
    <row r="1395" spans="1:4">
      <c r="A1395"/>
      <c r="D1395"/>
    </row>
    <row r="1396" spans="1:4">
      <c r="A1396"/>
      <c r="D1396"/>
    </row>
    <row r="1397" spans="1:4">
      <c r="A1397"/>
      <c r="D1397"/>
    </row>
    <row r="1398" spans="1:4">
      <c r="A1398"/>
      <c r="D1398"/>
    </row>
    <row r="1399" spans="1:4">
      <c r="A1399"/>
      <c r="D1399"/>
    </row>
    <row r="1400" spans="1:4">
      <c r="A1400"/>
      <c r="D1400"/>
    </row>
    <row r="1401" spans="1:4">
      <c r="A1401"/>
      <c r="D1401"/>
    </row>
    <row r="1402" spans="1:4">
      <c r="A1402"/>
      <c r="D1402"/>
    </row>
    <row r="1403" spans="1:4">
      <c r="A1403"/>
      <c r="D1403"/>
    </row>
    <row r="1404" spans="1:4">
      <c r="A1404"/>
      <c r="D1404"/>
    </row>
    <row r="1405" spans="1:4">
      <c r="A1405"/>
      <c r="D1405"/>
    </row>
    <row r="1406" spans="1:4">
      <c r="A1406"/>
      <c r="D1406"/>
    </row>
    <row r="1407" spans="1:4">
      <c r="A1407"/>
      <c r="D1407"/>
    </row>
    <row r="1408" spans="1:4">
      <c r="A1408"/>
      <c r="D1408"/>
    </row>
    <row r="1409" spans="1:4">
      <c r="A1409"/>
      <c r="D1409"/>
    </row>
    <row r="1410" spans="1:4">
      <c r="A1410"/>
      <c r="D1410"/>
    </row>
    <row r="1411" spans="1:4">
      <c r="A1411"/>
      <c r="D1411"/>
    </row>
    <row r="1412" spans="1:4">
      <c r="A1412"/>
      <c r="D1412"/>
    </row>
    <row r="1413" spans="1:4">
      <c r="A1413"/>
      <c r="D1413"/>
    </row>
    <row r="1414" spans="1:4">
      <c r="A1414"/>
      <c r="D1414"/>
    </row>
    <row r="1415" spans="1:4">
      <c r="A1415"/>
      <c r="D1415"/>
    </row>
    <row r="1416" spans="1:4">
      <c r="A1416"/>
      <c r="D1416"/>
    </row>
    <row r="1417" spans="1:4">
      <c r="A1417"/>
      <c r="D1417"/>
    </row>
    <row r="1418" spans="1:4">
      <c r="A1418"/>
      <c r="D1418"/>
    </row>
    <row r="1419" spans="1:4">
      <c r="A1419"/>
      <c r="D1419"/>
    </row>
    <row r="1420" spans="1:4">
      <c r="A1420"/>
      <c r="D1420"/>
    </row>
    <row r="1421" spans="1:4">
      <c r="A1421"/>
      <c r="D1421"/>
    </row>
    <row r="1422" spans="1:4">
      <c r="A1422"/>
      <c r="D1422"/>
    </row>
    <row r="1423" spans="1:4">
      <c r="A1423"/>
      <c r="D1423"/>
    </row>
    <row r="1424" spans="1:4">
      <c r="A1424"/>
      <c r="D1424"/>
    </row>
    <row r="1425" spans="1:4">
      <c r="A1425"/>
      <c r="D1425"/>
    </row>
    <row r="1426" spans="1:4">
      <c r="A1426"/>
      <c r="D1426"/>
    </row>
    <row r="1427" spans="1:4">
      <c r="A1427"/>
      <c r="D1427"/>
    </row>
    <row r="1428" spans="1:4">
      <c r="A1428"/>
      <c r="D1428"/>
    </row>
    <row r="1429" spans="1:4">
      <c r="A1429"/>
      <c r="D1429"/>
    </row>
    <row r="1430" spans="1:4">
      <c r="A1430"/>
      <c r="D1430"/>
    </row>
    <row r="1431" spans="1:4">
      <c r="A1431"/>
      <c r="D1431"/>
    </row>
    <row r="1432" spans="1:4">
      <c r="A1432"/>
      <c r="D1432"/>
    </row>
    <row r="1433" spans="1:4">
      <c r="A1433"/>
      <c r="D1433"/>
    </row>
    <row r="1434" spans="1:4">
      <c r="A1434"/>
      <c r="D1434"/>
    </row>
    <row r="1435" spans="1:4">
      <c r="A1435"/>
      <c r="D1435"/>
    </row>
    <row r="1436" spans="1:4">
      <c r="A1436"/>
      <c r="D1436"/>
    </row>
    <row r="1437" spans="1:4">
      <c r="A1437"/>
      <c r="D1437"/>
    </row>
    <row r="1438" spans="1:4">
      <c r="A1438"/>
      <c r="D1438"/>
    </row>
    <row r="1439" spans="1:4">
      <c r="A1439"/>
      <c r="D1439"/>
    </row>
    <row r="1440" spans="1:4">
      <c r="A1440"/>
      <c r="D1440"/>
    </row>
    <row r="1441" spans="1:4">
      <c r="A1441"/>
      <c r="D1441"/>
    </row>
    <row r="1442" spans="1:4">
      <c r="A1442"/>
      <c r="D1442"/>
    </row>
    <row r="1443" spans="1:4">
      <c r="A1443"/>
      <c r="D1443"/>
    </row>
    <row r="1444" spans="1:4">
      <c r="A1444"/>
      <c r="D1444"/>
    </row>
    <row r="1445" spans="1:4">
      <c r="A1445"/>
      <c r="D1445"/>
    </row>
    <row r="1446" spans="1:4">
      <c r="A1446"/>
      <c r="D1446"/>
    </row>
    <row r="1447" spans="1:4">
      <c r="A1447"/>
      <c r="D1447"/>
    </row>
    <row r="1448" spans="1:4">
      <c r="A1448"/>
      <c r="D1448"/>
    </row>
    <row r="1449" spans="1:4">
      <c r="A1449"/>
      <c r="D1449"/>
    </row>
    <row r="1450" spans="1:4">
      <c r="A1450"/>
      <c r="D1450"/>
    </row>
    <row r="1451" spans="1:4">
      <c r="A1451"/>
      <c r="D1451"/>
    </row>
    <row r="1452" spans="1:4">
      <c r="A1452"/>
      <c r="D1452"/>
    </row>
    <row r="1453" spans="1:4">
      <c r="A1453"/>
      <c r="D1453"/>
    </row>
    <row r="1454" spans="1:4">
      <c r="A1454"/>
      <c r="D1454"/>
    </row>
    <row r="1455" spans="1:4">
      <c r="A1455"/>
      <c r="D1455"/>
    </row>
    <row r="1456" spans="1:4">
      <c r="A1456"/>
      <c r="D1456"/>
    </row>
    <row r="1457" spans="1:4">
      <c r="A1457"/>
      <c r="D1457"/>
    </row>
    <row r="1458" spans="1:4">
      <c r="A1458"/>
      <c r="D1458"/>
    </row>
    <row r="1459" spans="1:4">
      <c r="A1459"/>
      <c r="D1459"/>
    </row>
    <row r="1460" spans="1:4">
      <c r="A1460"/>
      <c r="D1460"/>
    </row>
    <row r="1461" spans="1:4">
      <c r="A1461"/>
      <c r="D1461"/>
    </row>
    <row r="1462" spans="1:4">
      <c r="A1462"/>
      <c r="D1462"/>
    </row>
    <row r="1463" spans="1:4">
      <c r="A1463"/>
      <c r="D1463"/>
    </row>
    <row r="1464" spans="1:4">
      <c r="A1464"/>
      <c r="D1464"/>
    </row>
    <row r="1465" spans="1:4">
      <c r="A1465"/>
      <c r="D1465"/>
    </row>
    <row r="1466" spans="1:4">
      <c r="A1466"/>
      <c r="D1466"/>
    </row>
    <row r="1467" spans="1:4">
      <c r="A1467"/>
      <c r="D1467"/>
    </row>
    <row r="1468" spans="1:4">
      <c r="A1468"/>
      <c r="D1468"/>
    </row>
    <row r="1469" spans="1:4">
      <c r="A1469"/>
      <c r="D1469"/>
    </row>
    <row r="1470" spans="1:4">
      <c r="A1470"/>
      <c r="D1470"/>
    </row>
    <row r="1471" spans="1:4">
      <c r="A1471"/>
      <c r="D1471"/>
    </row>
    <row r="1472" spans="1:4">
      <c r="A1472"/>
      <c r="D1472"/>
    </row>
    <row r="1473" spans="1:4">
      <c r="A1473"/>
      <c r="D1473"/>
    </row>
    <row r="1474" spans="1:4">
      <c r="A1474"/>
      <c r="D1474"/>
    </row>
    <row r="1475" spans="1:4">
      <c r="A1475"/>
      <c r="D1475"/>
    </row>
    <row r="1476" spans="1:4">
      <c r="A1476"/>
      <c r="D1476"/>
    </row>
    <row r="1477" spans="1:4">
      <c r="A1477"/>
      <c r="D1477"/>
    </row>
    <row r="1478" spans="1:4">
      <c r="A1478"/>
      <c r="D1478"/>
    </row>
    <row r="1479" spans="1:4">
      <c r="A1479"/>
      <c r="D1479"/>
    </row>
    <row r="1480" spans="1:4">
      <c r="A1480"/>
      <c r="D1480"/>
    </row>
    <row r="1481" spans="1:4">
      <c r="A1481"/>
      <c r="D1481"/>
    </row>
    <row r="1482" spans="1:4">
      <c r="A1482"/>
      <c r="D1482"/>
    </row>
    <row r="1483" spans="1:4">
      <c r="A1483"/>
      <c r="D1483"/>
    </row>
    <row r="1484" spans="1:4">
      <c r="A1484"/>
      <c r="D1484"/>
    </row>
    <row r="1485" spans="1:4">
      <c r="A1485"/>
      <c r="D1485"/>
    </row>
    <row r="1486" spans="1:4">
      <c r="A1486"/>
      <c r="D1486"/>
    </row>
    <row r="1487" spans="1:4">
      <c r="A1487"/>
      <c r="D1487"/>
    </row>
    <row r="1488" spans="1:4">
      <c r="A1488"/>
      <c r="D1488"/>
    </row>
    <row r="1489" spans="1:4">
      <c r="A1489"/>
      <c r="D1489"/>
    </row>
    <row r="1490" spans="1:4">
      <c r="A1490"/>
      <c r="D1490"/>
    </row>
    <row r="1491" spans="1:4">
      <c r="A1491"/>
      <c r="D1491"/>
    </row>
    <row r="1492" spans="1:4">
      <c r="A1492"/>
      <c r="D1492"/>
    </row>
    <row r="1493" spans="1:4">
      <c r="A1493"/>
      <c r="D1493"/>
    </row>
    <row r="1494" spans="1:4">
      <c r="A1494"/>
      <c r="D1494"/>
    </row>
    <row r="1495" spans="1:4">
      <c r="A1495"/>
      <c r="D1495"/>
    </row>
    <row r="1496" spans="1:4">
      <c r="A1496"/>
      <c r="D1496"/>
    </row>
    <row r="1497" spans="1:4">
      <c r="A1497"/>
      <c r="D1497"/>
    </row>
    <row r="1498" spans="1:4">
      <c r="A1498"/>
      <c r="D1498"/>
    </row>
    <row r="1499" spans="1:4">
      <c r="A1499"/>
      <c r="D1499"/>
    </row>
    <row r="1500" spans="1:4">
      <c r="A1500"/>
      <c r="D1500"/>
    </row>
    <row r="1501" spans="1:4">
      <c r="A1501"/>
      <c r="D1501"/>
    </row>
    <row r="1502" spans="1:4">
      <c r="A1502"/>
      <c r="D1502"/>
    </row>
    <row r="1503" spans="1:4">
      <c r="A1503"/>
      <c r="D1503"/>
    </row>
    <row r="1504" spans="1:4">
      <c r="A1504"/>
      <c r="D1504"/>
    </row>
    <row r="1505" spans="1:4">
      <c r="A1505"/>
      <c r="D1505"/>
    </row>
    <row r="1506" spans="1:4">
      <c r="A1506"/>
      <c r="D1506"/>
    </row>
    <row r="1507" spans="1:4">
      <c r="A1507"/>
      <c r="D1507"/>
    </row>
    <row r="1508" spans="1:4">
      <c r="A1508"/>
      <c r="D1508"/>
    </row>
    <row r="1509" spans="1:4">
      <c r="A1509"/>
      <c r="D1509"/>
    </row>
    <row r="1510" spans="1:4">
      <c r="A1510"/>
      <c r="D1510"/>
    </row>
    <row r="1511" spans="1:4">
      <c r="A1511"/>
      <c r="D1511"/>
    </row>
    <row r="1512" spans="1:4">
      <c r="A1512"/>
      <c r="D1512"/>
    </row>
    <row r="1513" spans="1:4">
      <c r="A1513"/>
      <c r="D1513"/>
    </row>
    <row r="1514" spans="1:4">
      <c r="A1514"/>
      <c r="D1514"/>
    </row>
    <row r="1515" spans="1:4">
      <c r="A1515"/>
      <c r="D1515"/>
    </row>
    <row r="1516" spans="1:4">
      <c r="A1516"/>
      <c r="D1516"/>
    </row>
    <row r="1517" spans="1:4">
      <c r="A1517"/>
      <c r="D1517"/>
    </row>
    <row r="1518" spans="1:4">
      <c r="A1518"/>
      <c r="D1518"/>
    </row>
    <row r="1519" spans="1:4">
      <c r="A1519"/>
      <c r="D1519"/>
    </row>
    <row r="1520" spans="1:4">
      <c r="A1520"/>
      <c r="D1520"/>
    </row>
    <row r="1521" spans="1:4">
      <c r="A1521"/>
      <c r="D1521"/>
    </row>
    <row r="1522" spans="1:4">
      <c r="A1522"/>
      <c r="D1522"/>
    </row>
    <row r="1523" spans="1:4">
      <c r="A1523"/>
      <c r="D1523"/>
    </row>
    <row r="1524" spans="1:4">
      <c r="A1524"/>
      <c r="D1524"/>
    </row>
    <row r="1525" spans="1:4">
      <c r="A1525"/>
      <c r="D1525"/>
    </row>
    <row r="1526" spans="1:4">
      <c r="A1526"/>
      <c r="D1526"/>
    </row>
    <row r="1527" spans="1:4">
      <c r="A1527"/>
      <c r="D1527"/>
    </row>
    <row r="1528" spans="1:4">
      <c r="A1528"/>
      <c r="D1528"/>
    </row>
    <row r="1529" spans="1:4">
      <c r="A1529"/>
      <c r="D1529"/>
    </row>
    <row r="1530" spans="1:4">
      <c r="A1530"/>
      <c r="D1530"/>
    </row>
    <row r="1531" spans="1:4">
      <c r="A1531"/>
      <c r="D1531"/>
    </row>
    <row r="1532" spans="1:4">
      <c r="A1532"/>
      <c r="D1532"/>
    </row>
    <row r="1533" spans="1:4">
      <c r="A1533"/>
      <c r="D1533"/>
    </row>
    <row r="1534" spans="1:4">
      <c r="A1534"/>
      <c r="D1534"/>
    </row>
    <row r="1535" spans="1:4">
      <c r="A1535"/>
      <c r="D1535"/>
    </row>
    <row r="1536" spans="1:4">
      <c r="A1536"/>
      <c r="D1536"/>
    </row>
    <row r="1537" spans="1:4">
      <c r="A1537"/>
      <c r="D1537"/>
    </row>
    <row r="1538" spans="1:4">
      <c r="A1538"/>
      <c r="D1538"/>
    </row>
    <row r="1539" spans="1:4">
      <c r="A1539"/>
      <c r="D1539"/>
    </row>
    <row r="1540" spans="1:4">
      <c r="A1540"/>
      <c r="D1540"/>
    </row>
    <row r="1541" spans="1:4">
      <c r="A1541"/>
      <c r="D1541"/>
    </row>
    <row r="1542" spans="1:4">
      <c r="A1542"/>
      <c r="D1542"/>
    </row>
    <row r="1543" spans="1:4">
      <c r="A1543"/>
      <c r="D1543"/>
    </row>
    <row r="1544" spans="1:4">
      <c r="A1544"/>
      <c r="D1544"/>
    </row>
    <row r="1545" spans="1:4">
      <c r="A1545"/>
      <c r="D1545"/>
    </row>
    <row r="1546" spans="1:4">
      <c r="A1546"/>
      <c r="D1546"/>
    </row>
    <row r="1547" spans="1:4">
      <c r="A1547"/>
      <c r="D1547"/>
    </row>
    <row r="1548" spans="1:4">
      <c r="A1548"/>
      <c r="D1548"/>
    </row>
    <row r="1549" spans="1:4">
      <c r="A1549"/>
      <c r="D1549"/>
    </row>
    <row r="1550" spans="1:4">
      <c r="A1550"/>
      <c r="D1550"/>
    </row>
    <row r="1551" spans="1:4">
      <c r="A1551"/>
      <c r="D1551"/>
    </row>
    <row r="1552" spans="1:4">
      <c r="A1552"/>
      <c r="D1552"/>
    </row>
    <row r="1553" spans="1:4">
      <c r="A1553"/>
      <c r="D1553"/>
    </row>
    <row r="1554" spans="1:4">
      <c r="A1554"/>
      <c r="D1554"/>
    </row>
    <row r="1555" spans="1:4">
      <c r="A1555"/>
      <c r="D1555"/>
    </row>
    <row r="1556" spans="1:4">
      <c r="A1556"/>
      <c r="D1556"/>
    </row>
    <row r="1557" spans="1:4">
      <c r="A1557"/>
      <c r="D1557"/>
    </row>
    <row r="1558" spans="1:4">
      <c r="A1558"/>
      <c r="D1558"/>
    </row>
    <row r="1559" spans="1:4">
      <c r="A1559"/>
      <c r="D1559"/>
    </row>
    <row r="1560" spans="1:4">
      <c r="A1560"/>
      <c r="D1560"/>
    </row>
    <row r="1561" spans="1:4">
      <c r="A1561"/>
      <c r="D1561"/>
    </row>
    <row r="1562" spans="1:4">
      <c r="A1562"/>
      <c r="D1562"/>
    </row>
    <row r="1563" spans="1:4">
      <c r="A1563"/>
      <c r="D1563"/>
    </row>
    <row r="1564" spans="1:4">
      <c r="A1564"/>
      <c r="D1564"/>
    </row>
    <row r="1565" spans="1:4">
      <c r="A1565"/>
      <c r="D1565"/>
    </row>
    <row r="1566" spans="1:4">
      <c r="A1566"/>
      <c r="D1566"/>
    </row>
    <row r="1567" spans="1:4">
      <c r="A1567"/>
      <c r="D1567"/>
    </row>
    <row r="1568" spans="1:4">
      <c r="A1568"/>
      <c r="D1568"/>
    </row>
    <row r="1569" spans="1:4">
      <c r="A1569"/>
      <c r="D1569"/>
    </row>
    <row r="1570" spans="1:4">
      <c r="A1570"/>
      <c r="D1570"/>
    </row>
    <row r="1571" spans="1:4">
      <c r="A1571"/>
      <c r="D1571"/>
    </row>
    <row r="1572" spans="1:4">
      <c r="A1572"/>
      <c r="D1572"/>
    </row>
    <row r="1573" spans="1:4">
      <c r="A1573"/>
      <c r="D1573"/>
    </row>
    <row r="1574" spans="1:4">
      <c r="A1574"/>
      <c r="D1574"/>
    </row>
    <row r="1575" spans="1:4">
      <c r="A1575"/>
      <c r="D1575"/>
    </row>
    <row r="1576" spans="1:4">
      <c r="A1576"/>
      <c r="D1576"/>
    </row>
    <row r="1577" spans="1:4">
      <c r="A1577"/>
      <c r="D1577"/>
    </row>
    <row r="1578" spans="1:4">
      <c r="A1578"/>
      <c r="D1578"/>
    </row>
    <row r="1579" spans="1:4">
      <c r="A1579"/>
      <c r="D1579"/>
    </row>
    <row r="1580" spans="1:4">
      <c r="A1580"/>
      <c r="D1580"/>
    </row>
    <row r="1581" spans="1:4">
      <c r="A1581"/>
      <c r="D1581"/>
    </row>
    <row r="1582" spans="1:4">
      <c r="A1582"/>
      <c r="D1582"/>
    </row>
    <row r="1583" spans="1:4">
      <c r="A1583"/>
      <c r="D1583"/>
    </row>
    <row r="1584" spans="1:4">
      <c r="A1584"/>
      <c r="D1584"/>
    </row>
    <row r="1585" spans="1:4">
      <c r="A1585"/>
      <c r="D1585"/>
    </row>
    <row r="1586" spans="1:4">
      <c r="A1586"/>
      <c r="D1586"/>
    </row>
    <row r="1587" spans="1:4">
      <c r="A1587"/>
      <c r="D1587"/>
    </row>
    <row r="1588" spans="1:4">
      <c r="A1588"/>
      <c r="D1588"/>
    </row>
    <row r="1589" spans="1:4">
      <c r="A1589"/>
      <c r="D1589"/>
    </row>
    <row r="1590" spans="1:4">
      <c r="A1590"/>
      <c r="D1590"/>
    </row>
    <row r="1591" spans="1:4">
      <c r="A1591"/>
      <c r="D1591"/>
    </row>
    <row r="1592" spans="1:4">
      <c r="A1592"/>
      <c r="D1592"/>
    </row>
    <row r="1593" spans="1:4">
      <c r="A1593"/>
      <c r="D1593"/>
    </row>
    <row r="1594" spans="1:4">
      <c r="A1594"/>
      <c r="D1594"/>
    </row>
  </sheetData>
  <mergeCells count="70">
    <mergeCell ref="A56:D56"/>
    <mergeCell ref="A1:D1"/>
    <mergeCell ref="B2:D2"/>
    <mergeCell ref="B3:D3"/>
    <mergeCell ref="B4:D4"/>
    <mergeCell ref="B5:D5"/>
    <mergeCell ref="B6:D6"/>
    <mergeCell ref="B7:D7"/>
    <mergeCell ref="B8:D8"/>
    <mergeCell ref="A10:D10"/>
    <mergeCell ref="A25:D25"/>
    <mergeCell ref="A41:D41"/>
    <mergeCell ref="A236:D236"/>
    <mergeCell ref="A71:D71"/>
    <mergeCell ref="A86:D86"/>
    <mergeCell ref="A101:D101"/>
    <mergeCell ref="A116:D116"/>
    <mergeCell ref="A131:D131"/>
    <mergeCell ref="A146:D146"/>
    <mergeCell ref="A161:D161"/>
    <mergeCell ref="A176:D176"/>
    <mergeCell ref="A191:D191"/>
    <mergeCell ref="A206:D206"/>
    <mergeCell ref="A221:D221"/>
    <mergeCell ref="A416:D416"/>
    <mergeCell ref="A251:D251"/>
    <mergeCell ref="A266:D266"/>
    <mergeCell ref="A281:D281"/>
    <mergeCell ref="A296:D296"/>
    <mergeCell ref="A311:D311"/>
    <mergeCell ref="A326:D326"/>
    <mergeCell ref="A341:D341"/>
    <mergeCell ref="A356:D356"/>
    <mergeCell ref="A371:D371"/>
    <mergeCell ref="A386:D386"/>
    <mergeCell ref="A401:D401"/>
    <mergeCell ref="A596:D596"/>
    <mergeCell ref="A431:D431"/>
    <mergeCell ref="A446:D446"/>
    <mergeCell ref="A461:D461"/>
    <mergeCell ref="A476:D476"/>
    <mergeCell ref="A491:D491"/>
    <mergeCell ref="A506:D506"/>
    <mergeCell ref="A521:D521"/>
    <mergeCell ref="A536:D536"/>
    <mergeCell ref="A551:D551"/>
    <mergeCell ref="A566:D566"/>
    <mergeCell ref="A581:D581"/>
    <mergeCell ref="A776:D776"/>
    <mergeCell ref="A611:D611"/>
    <mergeCell ref="A626:D626"/>
    <mergeCell ref="A641:D641"/>
    <mergeCell ref="A656:D656"/>
    <mergeCell ref="A671:D671"/>
    <mergeCell ref="A686:D686"/>
    <mergeCell ref="A701:D701"/>
    <mergeCell ref="A716:D716"/>
    <mergeCell ref="A731:D731"/>
    <mergeCell ref="A746:D746"/>
    <mergeCell ref="A761:D761"/>
    <mergeCell ref="A881:D881"/>
    <mergeCell ref="A896:D896"/>
    <mergeCell ref="A911:D911"/>
    <mergeCell ref="A926:D926"/>
    <mergeCell ref="A791:D791"/>
    <mergeCell ref="A806:D806"/>
    <mergeCell ref="A821:D821"/>
    <mergeCell ref="A836:D836"/>
    <mergeCell ref="A851:D851"/>
    <mergeCell ref="A866:D866"/>
  </mergeCells>
  <dataValidations count="1">
    <dataValidation type="list" allowBlank="1" showInputMessage="1" showErrorMessage="1" sqref="B7:D7">
      <formula1>Quest1</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1F760EDBA42D2C42827779D731D67E88" ma:contentTypeVersion="14" ma:contentTypeDescription="Create a new document." ma:contentTypeScope="" ma:versionID="1f936851a4f4d56cd976a0ec109fb386">
  <xsd:schema xmlns:xsd="http://www.w3.org/2001/XMLSchema" xmlns:xs="http://www.w3.org/2001/XMLSchema" xmlns:p="http://schemas.microsoft.com/office/2006/metadata/properties" xmlns:ns2="76653376-2575-445d-acf4-ce914dd67c3f" xmlns:ns3="41210f2c-1874-482f-8bba-f603b7a7ee34" targetNamespace="http://schemas.microsoft.com/office/2006/metadata/properties" ma:root="true" ma:fieldsID="cbeea72f1b9aa1f23656ed7d5f7c9caa" ns2:_="" ns3:_="">
    <xsd:import namespace="76653376-2575-445d-acf4-ce914dd67c3f"/>
    <xsd:import namespace="41210f2c-1874-482f-8bba-f603b7a7ee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CR"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3376-2575-445d-acf4-ce914dd67c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6e098b-4097-499f-beed-9b8324796cc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210f2c-1874-482f-8bba-f603b7a7ee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e366704-5982-4806-bb07-225cf1fd1787}" ma:internalName="TaxCatchAll" ma:showField="CatchAllData" ma:web="41210f2c-1874-482f-8bba-f603b7a7ee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290E13-CDB9-497B-9366-64E6AAE1597B}">
  <ds:schemaRefs>
    <ds:schemaRef ds:uri="http://schemas.microsoft.com/PowerBIAddIn"/>
  </ds:schemaRefs>
</ds:datastoreItem>
</file>

<file path=customXml/itemProps2.xml><?xml version="1.0" encoding="utf-8"?>
<ds:datastoreItem xmlns:ds="http://schemas.openxmlformats.org/officeDocument/2006/customXml" ds:itemID="{D8F88026-BF15-4C6F-A9AD-7864B933BBAE}"/>
</file>

<file path=customXml/itemProps3.xml><?xml version="1.0" encoding="utf-8"?>
<ds:datastoreItem xmlns:ds="http://schemas.openxmlformats.org/officeDocument/2006/customXml" ds:itemID="{71D141EC-84F5-410C-B692-0B6822A76B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77</vt:i4>
      </vt:variant>
    </vt:vector>
  </HeadingPairs>
  <TitlesOfParts>
    <vt:vector size="87" baseType="lpstr">
      <vt:lpstr>Instructions</vt:lpstr>
      <vt:lpstr>Validation List</vt:lpstr>
      <vt:lpstr>Survey Tool</vt:lpstr>
      <vt:lpstr>OverallResults</vt:lpstr>
      <vt:lpstr>Overall Results</vt:lpstr>
      <vt:lpstr>Graphs</vt:lpstr>
      <vt:lpstr>Graphs </vt:lpstr>
      <vt:lpstr>Comments</vt:lpstr>
      <vt:lpstr>Condition A</vt:lpstr>
      <vt:lpstr>document control</vt:lpstr>
      <vt:lpstr>'Condition A'!Condition_1</vt:lpstr>
      <vt:lpstr>Condition_1</vt:lpstr>
      <vt:lpstr>No_in_Audit</vt:lpstr>
      <vt:lpstr>'Condition A'!No_who_answered_survey</vt:lpstr>
      <vt:lpstr>Comments!Not_answered</vt:lpstr>
      <vt:lpstr>Graphs!Not_answered</vt:lpstr>
      <vt:lpstr>'Graphs '!Not_answered</vt:lpstr>
      <vt:lpstr>'Overall Results'!Not_answered</vt:lpstr>
      <vt:lpstr>Not_answered</vt:lpstr>
      <vt:lpstr>Graphs!Print_Area</vt:lpstr>
      <vt:lpstr>'Graphs '!Print_Area</vt:lpstr>
      <vt:lpstr>Graphs!Print_Titles</vt:lpstr>
      <vt:lpstr>'Graphs '!Print_Titles</vt:lpstr>
      <vt:lpstr>'Overall Results'!Print_Titles</vt:lpstr>
      <vt:lpstr>OverallResults!Print_Titles</vt:lpstr>
      <vt:lpstr>Quest1</vt:lpstr>
      <vt:lpstr>Quest10</vt:lpstr>
      <vt:lpstr>Quest11</vt:lpstr>
      <vt:lpstr>Quest12</vt:lpstr>
      <vt:lpstr>Quest13</vt:lpstr>
      <vt:lpstr>Quest14</vt:lpstr>
      <vt:lpstr>Quest15</vt:lpstr>
      <vt:lpstr>Quest16</vt:lpstr>
      <vt:lpstr>Quest17</vt:lpstr>
      <vt:lpstr>Quest18</vt:lpstr>
      <vt:lpstr>Quest19</vt:lpstr>
      <vt:lpstr>Quest2</vt:lpstr>
      <vt:lpstr>Quest20</vt:lpstr>
      <vt:lpstr>Quest21</vt:lpstr>
      <vt:lpstr>Quest22</vt:lpstr>
      <vt:lpstr>Quest23</vt:lpstr>
      <vt:lpstr>Quest24</vt:lpstr>
      <vt:lpstr>Quest25</vt:lpstr>
      <vt:lpstr>Quest26</vt:lpstr>
      <vt:lpstr>Quest27</vt:lpstr>
      <vt:lpstr>Quest28</vt:lpstr>
      <vt:lpstr>Quest29</vt:lpstr>
      <vt:lpstr>Quest3</vt:lpstr>
      <vt:lpstr>Quest30</vt:lpstr>
      <vt:lpstr>Quest31</vt:lpstr>
      <vt:lpstr>Quest32</vt:lpstr>
      <vt:lpstr>Quest33</vt:lpstr>
      <vt:lpstr>Quest34</vt:lpstr>
      <vt:lpstr>Quest35</vt:lpstr>
      <vt:lpstr>Quest36</vt:lpstr>
      <vt:lpstr>Quest37</vt:lpstr>
      <vt:lpstr>Quest38</vt:lpstr>
      <vt:lpstr>Quest39</vt:lpstr>
      <vt:lpstr>Quest4</vt:lpstr>
      <vt:lpstr>Quest40</vt:lpstr>
      <vt:lpstr>Quest41</vt:lpstr>
      <vt:lpstr>Quest42</vt:lpstr>
      <vt:lpstr>Quest43</vt:lpstr>
      <vt:lpstr>Quest44</vt:lpstr>
      <vt:lpstr>Quest45</vt:lpstr>
      <vt:lpstr>Quest46</vt:lpstr>
      <vt:lpstr>Quest47</vt:lpstr>
      <vt:lpstr>Quest48</vt:lpstr>
      <vt:lpstr>Quest49</vt:lpstr>
      <vt:lpstr>Quest5</vt:lpstr>
      <vt:lpstr>Quest50</vt:lpstr>
      <vt:lpstr>Quest51</vt:lpstr>
      <vt:lpstr>Quest52</vt:lpstr>
      <vt:lpstr>Quest53</vt:lpstr>
      <vt:lpstr>Quest54</vt:lpstr>
      <vt:lpstr>Quest55</vt:lpstr>
      <vt:lpstr>Quest56</vt:lpstr>
      <vt:lpstr>Quest57</vt:lpstr>
      <vt:lpstr>Quest58</vt:lpstr>
      <vt:lpstr>Quest59</vt:lpstr>
      <vt:lpstr>Quest6</vt:lpstr>
      <vt:lpstr>Quest60</vt:lpstr>
      <vt:lpstr>Quest61</vt:lpstr>
      <vt:lpstr>Quest62</vt:lpstr>
      <vt:lpstr>Quest7</vt:lpstr>
      <vt:lpstr>Quest8</vt:lpstr>
      <vt:lpstr>Quest9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O'Grady</dc:creator>
  <cp:lastModifiedBy>Admin</cp:lastModifiedBy>
  <cp:lastPrinted>2018-06-15T08:56:36Z</cp:lastPrinted>
  <dcterms:created xsi:type="dcterms:W3CDTF">2016-02-05T09:25:37Z</dcterms:created>
  <dcterms:modified xsi:type="dcterms:W3CDTF">2018-07-03T12:54:07Z</dcterms:modified>
</cp:coreProperties>
</file>